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Google Drive\RESTRUCTURING &amp; FIRM EVALUATION\Restructuring &amp; firm evaluation TO SHARE\Exercises\"/>
    </mc:Choice>
  </mc:AlternateContent>
  <bookViews>
    <workbookView xWindow="0" yWindow="0" windowWidth="15360" windowHeight="8900" firstSheet="8" activeTab="20"/>
  </bookViews>
  <sheets>
    <sheet name="40 41" sheetId="1" r:id="rId1"/>
    <sheet name="42" sheetId="15" r:id="rId2"/>
    <sheet name="42 demo" sheetId="16" r:id="rId3"/>
    <sheet name="43" sheetId="17" r:id="rId4"/>
    <sheet name="48" sheetId="4" r:id="rId5"/>
    <sheet name="49" sheetId="5" r:id="rId6"/>
    <sheet name="50" sheetId="6" r:id="rId7"/>
    <sheet name="51" sheetId="7" r:id="rId8"/>
    <sheet name="52" sheetId="8" r:id="rId9"/>
    <sheet name="53" sheetId="18" r:id="rId10"/>
    <sheet name="54" sheetId="19" r:id="rId11"/>
    <sheet name="55" sheetId="20" r:id="rId12"/>
    <sheet name="57" sheetId="21" r:id="rId13"/>
    <sheet name="57 (2)" sheetId="25" r:id="rId14"/>
    <sheet name="62" sheetId="9" r:id="rId15"/>
    <sheet name="64" sheetId="13" r:id="rId16"/>
    <sheet name="66" sheetId="24" r:id="rId17"/>
    <sheet name="68" sheetId="23" r:id="rId18"/>
    <sheet name="69" sheetId="22" r:id="rId19"/>
    <sheet name="70 (2)" sheetId="26" r:id="rId20"/>
    <sheet name="70" sheetId="12" r:id="rId2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20" l="1"/>
  <c r="D6" i="1" l="1"/>
  <c r="C6" i="1"/>
  <c r="C7" i="6" l="1"/>
  <c r="L35" i="23" l="1"/>
  <c r="L34" i="23"/>
  <c r="L33" i="23"/>
  <c r="L32" i="23"/>
  <c r="L30" i="23"/>
  <c r="A62" i="24" l="1"/>
  <c r="C23" i="23"/>
  <c r="C24" i="23" s="1"/>
  <c r="D23" i="23"/>
  <c r="D24" i="23" s="1"/>
  <c r="E23" i="23"/>
  <c r="E24" i="23" s="1"/>
  <c r="F23" i="23"/>
  <c r="F24" i="23" s="1"/>
  <c r="G23" i="23"/>
  <c r="G24" i="23" s="1"/>
  <c r="H23" i="23"/>
  <c r="H24" i="23" s="1"/>
  <c r="I23" i="23"/>
  <c r="I24" i="23" s="1"/>
  <c r="J23" i="23"/>
  <c r="J24" i="23" s="1"/>
  <c r="K23" i="23"/>
  <c r="K24" i="23" s="1"/>
  <c r="L23" i="23"/>
  <c r="L24" i="23" s="1"/>
  <c r="M23" i="23"/>
  <c r="M24" i="23" s="1"/>
  <c r="N23" i="23"/>
  <c r="N24" i="23" s="1"/>
  <c r="O23" i="23"/>
  <c r="O24" i="23" s="1"/>
  <c r="P23" i="23"/>
  <c r="P24" i="23" s="1"/>
  <c r="Q23" i="23"/>
  <c r="Q24" i="23" s="1"/>
  <c r="B23" i="23"/>
  <c r="B24" i="23" s="1"/>
  <c r="A31" i="23"/>
  <c r="D26" i="22"/>
  <c r="D27" i="22" s="1"/>
  <c r="C26" i="22"/>
  <c r="D24" i="22"/>
  <c r="E24" i="22"/>
  <c r="F24" i="22"/>
  <c r="G24" i="22"/>
  <c r="G27" i="22" s="1"/>
  <c r="H24" i="22"/>
  <c r="D25" i="22"/>
  <c r="E25" i="22"/>
  <c r="F25" i="22"/>
  <c r="G25" i="22"/>
  <c r="H25" i="22"/>
  <c r="C25" i="22"/>
  <c r="C24" i="22"/>
  <c r="D32" i="16"/>
  <c r="C32" i="16"/>
  <c r="D28" i="22" l="1"/>
  <c r="G28" i="22"/>
  <c r="F27" i="22"/>
  <c r="F28" i="22" s="1"/>
  <c r="C27" i="22"/>
  <c r="C28" i="22" s="1"/>
  <c r="E27" i="22"/>
  <c r="E28" i="22" s="1"/>
  <c r="H27" i="22"/>
  <c r="H28" i="22" s="1"/>
  <c r="B25" i="23"/>
  <c r="F39" i="20"/>
  <c r="A40" i="20"/>
  <c r="B35" i="20"/>
  <c r="A33" i="20"/>
  <c r="B33" i="20"/>
  <c r="A34" i="20"/>
  <c r="B34" i="20"/>
  <c r="A35" i="20"/>
  <c r="B32" i="20"/>
  <c r="A32" i="20"/>
  <c r="G12" i="19"/>
  <c r="C36" i="18"/>
  <c r="C35" i="18"/>
  <c r="C32" i="17"/>
  <c r="D32" i="17"/>
  <c r="D33" i="17"/>
  <c r="D34" i="17"/>
  <c r="D35" i="17"/>
  <c r="C34" i="17"/>
  <c r="C33" i="17"/>
  <c r="B34" i="17"/>
  <c r="B35" i="17" s="1"/>
  <c r="C35" i="17" s="1"/>
  <c r="B33" i="17"/>
  <c r="B32" i="17"/>
  <c r="B46" i="17"/>
  <c r="C45" i="17"/>
  <c r="C42" i="17"/>
  <c r="C44" i="17" s="1"/>
  <c r="B44" i="17"/>
  <c r="B45" i="17" s="1"/>
  <c r="C33" i="16"/>
  <c r="D28" i="16"/>
  <c r="D27" i="16"/>
  <c r="D26" i="16"/>
  <c r="D25" i="16"/>
  <c r="D24" i="16"/>
  <c r="B14" i="16"/>
  <c r="C14" i="16"/>
  <c r="C15" i="16" s="1"/>
  <c r="C13" i="16"/>
  <c r="B13" i="16"/>
  <c r="B15" i="16"/>
  <c r="G7" i="16"/>
  <c r="F7" i="16"/>
  <c r="C7" i="16"/>
  <c r="B7" i="16"/>
  <c r="H55" i="15"/>
  <c r="G56" i="15"/>
  <c r="H50" i="15"/>
  <c r="H49" i="15"/>
  <c r="H51" i="15" s="1"/>
  <c r="G55" i="15" s="1"/>
  <c r="G57" i="15" s="1"/>
  <c r="H57" i="15" s="1"/>
  <c r="H56" i="15" s="1"/>
  <c r="H48" i="15"/>
  <c r="H47" i="15"/>
  <c r="G7" i="15"/>
  <c r="F7" i="15"/>
  <c r="C7" i="15"/>
  <c r="B7" i="15"/>
  <c r="C29" i="22" l="1"/>
  <c r="C34" i="16"/>
  <c r="D34" i="16" s="1"/>
  <c r="D33" i="16" s="1"/>
  <c r="H29" i="1"/>
  <c r="H33" i="1"/>
  <c r="C37" i="1"/>
  <c r="C36" i="1"/>
  <c r="C35" i="1"/>
  <c r="C34" i="1"/>
  <c r="B6" i="9" l="1"/>
  <c r="J18" i="5" l="1"/>
  <c r="E24" i="5"/>
  <c r="D24" i="5"/>
  <c r="E23" i="5"/>
  <c r="D23" i="5"/>
  <c r="E22" i="5"/>
  <c r="E21" i="5"/>
  <c r="J16" i="5"/>
  <c r="O5" i="4"/>
  <c r="N5" i="4"/>
  <c r="M5" i="4"/>
  <c r="L5" i="4"/>
  <c r="K5" i="4"/>
  <c r="J5" i="4"/>
  <c r="N4" i="4"/>
  <c r="M4" i="4"/>
  <c r="L4" i="4"/>
  <c r="K4" i="4"/>
  <c r="J4" i="4"/>
  <c r="H30" i="1"/>
  <c r="H28" i="1"/>
  <c r="H22" i="1"/>
  <c r="H21" i="1"/>
</calcChain>
</file>

<file path=xl/sharedStrings.xml><?xml version="1.0" encoding="utf-8"?>
<sst xmlns="http://schemas.openxmlformats.org/spreadsheetml/2006/main" count="585" uniqueCount="410">
  <si>
    <t>Firm X</t>
  </si>
  <si>
    <t xml:space="preserve"> Firm Y</t>
  </si>
  <si>
    <t xml:space="preserve">Market price </t>
  </si>
  <si>
    <t>Number of shares</t>
  </si>
  <si>
    <t>Market value of company</t>
  </si>
  <si>
    <t>Các thông tin sau đây được sử dụng cho các câu hỏi 4.40 và 4.41.</t>
  </si>
  <si>
    <t>4. 41 Sử dụng cùng một thông tin,  chi phí thực tế của mua lại là bao nhiêu?</t>
  </si>
  <si>
    <t>4.40 Công ty X mua lại công ty Y.Lợi nhuận từ mua lại là bao nhiêu nếu, sau khi mua lại, giá cổ phiếu của X tăng lên 3,75 £?</t>
  </si>
  <si>
    <r>
      <t xml:space="preserve">4.40 </t>
    </r>
    <r>
      <rPr>
        <sz val="9"/>
        <color rgb="FF231F20"/>
        <rFont val="Palatino-Roman"/>
      </rPr>
      <t>To work out the cost, we need to know what the combined firms are</t>
    </r>
  </si>
  <si>
    <t>worth post-acquisition. The combination AB is worth £90 million after the</t>
  </si>
  <si>
    <r>
      <t xml:space="preserve">acquisition (24 million shares </t>
    </r>
    <r>
      <rPr>
        <i/>
        <sz val="9"/>
        <color rgb="FF231F20"/>
        <rFont val="CMSY10"/>
      </rPr>
      <t xml:space="preserve">× </t>
    </r>
    <r>
      <rPr>
        <sz val="9"/>
        <color rgb="FF231F20"/>
        <rFont val="Palatino-Roman"/>
      </rPr>
      <t>£3.75). The gain from the acquisition will</t>
    </r>
  </si>
  <si>
    <t>be</t>
  </si>
  <si>
    <r>
      <t xml:space="preserve">Gain = £90m </t>
    </r>
    <r>
      <rPr>
        <i/>
        <sz val="9"/>
        <color rgb="FF231F20"/>
        <rFont val="CMSY10"/>
      </rPr>
      <t xml:space="preserve">− </t>
    </r>
    <r>
      <rPr>
        <sz val="8"/>
        <color rgb="FF231F20"/>
        <rFont val="Palatino-Roman"/>
      </rPr>
      <t>(£70m + £11m) = £9 million</t>
    </r>
  </si>
  <si>
    <r>
      <t xml:space="preserve">(4m </t>
    </r>
    <r>
      <rPr>
        <i/>
        <sz val="9"/>
        <color rgb="FF231F20"/>
        <rFont val="CMSY10"/>
      </rPr>
      <t xml:space="preserve">× </t>
    </r>
    <r>
      <rPr>
        <sz val="8"/>
        <color rgb="FF231F20"/>
        <rFont val="Palatino-Roman"/>
      </rPr>
      <t>£3</t>
    </r>
    <r>
      <rPr>
        <i/>
        <sz val="9"/>
        <color rgb="FF231F20"/>
        <rFont val="CMMI10"/>
      </rPr>
      <t>.</t>
    </r>
    <r>
      <rPr>
        <sz val="8"/>
        <color rgb="FF231F20"/>
        <rFont val="Palatino-Roman"/>
      </rPr>
      <t xml:space="preserve">75) </t>
    </r>
    <r>
      <rPr>
        <i/>
        <sz val="9"/>
        <color rgb="FF231F20"/>
        <rFont val="CMSY10"/>
      </rPr>
      <t xml:space="preserve">− </t>
    </r>
    <r>
      <rPr>
        <sz val="8"/>
        <color rgb="FF231F20"/>
        <rFont val="Palatino-Roman"/>
      </rPr>
      <t>£11m) = £4 million</t>
    </r>
  </si>
  <si>
    <r>
      <t xml:space="preserve">That is, £3.75 </t>
    </r>
    <r>
      <rPr>
        <i/>
        <sz val="9"/>
        <color rgb="FF231F20"/>
        <rFont val="CMSY10"/>
      </rPr>
      <t xml:space="preserve">× </t>
    </r>
    <r>
      <rPr>
        <sz val="9"/>
        <color rgb="FF231F20"/>
        <rFont val="Palatino-Roman"/>
      </rPr>
      <t>4 million (new shares in AB) = £15 million less £11 million</t>
    </r>
  </si>
  <si>
    <t>(stand-alone value of B) = £4 million</t>
  </si>
  <si>
    <r>
      <t xml:space="preserve">So </t>
    </r>
    <r>
      <rPr>
        <b/>
        <sz val="9"/>
        <color rgb="FF231F20"/>
        <rFont val="Palatino-Bold"/>
      </rPr>
      <t xml:space="preserve">C </t>
    </r>
    <r>
      <rPr>
        <sz val="9"/>
        <color rgb="FF231F20"/>
        <rFont val="Palatino-Roman"/>
      </rPr>
      <t>is the right answer.</t>
    </r>
  </si>
  <si>
    <t>Gain=</t>
  </si>
  <si>
    <t>Px=</t>
  </si>
  <si>
    <t xml:space="preserve"> £ million </t>
  </si>
  <si>
    <t xml:space="preserve"> £ million</t>
  </si>
  <si>
    <t xml:space="preserve"> £</t>
  </si>
  <si>
    <t>Unit</t>
  </si>
  <si>
    <t>4. 41 The cost of the acquisition will be:</t>
  </si>
  <si>
    <t>Chi phí mua lại là:</t>
  </si>
  <si>
    <t>V của công ty X sau mua lại</t>
  </si>
  <si>
    <t>Giá cổ phiếu mới của X sau mua lại</t>
  </si>
  <si>
    <t>Giá của công ty Y</t>
  </si>
  <si>
    <t>Year</t>
  </si>
  <si>
    <t>Exit price</t>
  </si>
  <si>
    <t>r=</t>
  </si>
  <si>
    <t>Một mục tiêu mua lại có hồ sơ lưu chuyển tiền mặt sau đây (giá trị là triệu bảng):</t>
  </si>
  <si>
    <t>Năm</t>
  </si>
  <si>
    <t>Nếu tỷ lệ chiết khấu yêu cầu là 13 phần trăm, giá trị của công ty là bao nhiêu?</t>
  </si>
  <si>
    <r>
      <t xml:space="preserve">4.49 </t>
    </r>
    <r>
      <rPr>
        <sz val="9"/>
        <color rgb="FF231F20"/>
        <rFont val="Palatino-Roman"/>
      </rPr>
      <t>We must compute the interest cost on the debt times the tax rate:</t>
    </r>
  </si>
  <si>
    <r>
      <t xml:space="preserve">£120 million </t>
    </r>
    <r>
      <rPr>
        <i/>
        <sz val="9"/>
        <color rgb="FF231F20"/>
        <rFont val="CMSY10"/>
      </rPr>
      <t xml:space="preserve">× </t>
    </r>
    <r>
      <rPr>
        <sz val="8"/>
        <color rgb="FF231F20"/>
        <rFont val="Palatino-Roman"/>
      </rPr>
      <t>0</t>
    </r>
    <r>
      <rPr>
        <i/>
        <sz val="9"/>
        <color rgb="FF231F20"/>
        <rFont val="CMMI10"/>
      </rPr>
      <t>.</t>
    </r>
    <r>
      <rPr>
        <sz val="8"/>
        <color rgb="FF231F20"/>
        <rFont val="Palatino-Roman"/>
      </rPr>
      <t xml:space="preserve">062 </t>
    </r>
    <r>
      <rPr>
        <i/>
        <sz val="9"/>
        <color rgb="FF231F20"/>
        <rFont val="CMSY10"/>
      </rPr>
      <t xml:space="preserve">× </t>
    </r>
    <r>
      <rPr>
        <sz val="8"/>
        <color rgb="FF231F20"/>
        <rFont val="Palatino-Roman"/>
      </rPr>
      <t>0</t>
    </r>
    <r>
      <rPr>
        <i/>
        <sz val="9"/>
        <color rgb="FF231F20"/>
        <rFont val="CMMI10"/>
      </rPr>
      <t>.</t>
    </r>
    <r>
      <rPr>
        <sz val="8"/>
        <color rgb="FF231F20"/>
        <rFont val="Palatino-Roman"/>
      </rPr>
      <t>40 = £2</t>
    </r>
    <r>
      <rPr>
        <i/>
        <sz val="9"/>
        <color rgb="FF231F20"/>
        <rFont val="CMMI10"/>
      </rPr>
      <t>.</t>
    </r>
    <r>
      <rPr>
        <sz val="8"/>
        <color rgb="FF231F20"/>
        <rFont val="Palatino-Roman"/>
      </rPr>
      <t>98 million</t>
    </r>
  </si>
  <si>
    <r>
      <t xml:space="preserve">So </t>
    </r>
    <r>
      <rPr>
        <b/>
        <sz val="9"/>
        <color rgb="FF231F20"/>
        <rFont val="Palatino-Bold"/>
      </rPr>
      <t xml:space="preserve">B </t>
    </r>
    <r>
      <rPr>
        <sz val="9"/>
        <color rgb="FF231F20"/>
        <rFont val="Palatino-Roman"/>
      </rPr>
      <t>is the right answer. We can see how this works if we compute the</t>
    </r>
  </si>
  <si>
    <t>accounting entries for the no debt and debt positions:</t>
  </si>
  <si>
    <r>
      <t xml:space="preserve">4.50 </t>
    </r>
    <r>
      <rPr>
        <sz val="9"/>
        <color rgb="FF231F20"/>
        <rFont val="Palatino-Roman"/>
      </rPr>
      <t>The market’s required return will be a dividend yield or return from known</t>
    </r>
  </si>
  <si>
    <t>cash flows from the share plus the expected growth rate. So:</t>
  </si>
  <si>
    <r>
      <t xml:space="preserve">r </t>
    </r>
    <r>
      <rPr>
        <sz val="8"/>
        <color rgb="FF231F20"/>
        <rFont val="Palatino-Roman"/>
      </rPr>
      <t>=</t>
    </r>
  </si>
  <si>
    <t>The dividend yield is 8.98 per cent and the growth rate 4 per cent, so the</t>
  </si>
  <si>
    <r>
      <t xml:space="preserve">market’s required return is 13 per cent and </t>
    </r>
    <r>
      <rPr>
        <b/>
        <sz val="9"/>
        <color rgb="FF231F20"/>
        <rFont val="Palatino-Bold"/>
      </rPr>
      <t xml:space="preserve">B </t>
    </r>
    <r>
      <rPr>
        <sz val="9"/>
        <color rgb="FF231F20"/>
        <rFont val="Palatino-Roman"/>
      </rPr>
      <t>is correct.</t>
    </r>
  </si>
  <si>
    <r>
      <t xml:space="preserve">4.51 </t>
    </r>
    <r>
      <rPr>
        <sz val="9"/>
        <color rgb="FF231F20"/>
        <rFont val="Palatino-Roman"/>
      </rPr>
      <t>The capital asset pricing model has the following equation:</t>
    </r>
  </si>
  <si>
    <r>
      <t xml:space="preserve">r </t>
    </r>
    <r>
      <rPr>
        <sz val="8"/>
        <color rgb="FF231F20"/>
        <rFont val="Palatino-Roman"/>
      </rPr>
      <t xml:space="preserve">= </t>
    </r>
    <r>
      <rPr>
        <i/>
        <sz val="9"/>
        <color rgb="FF231F20"/>
        <rFont val="CMMI10"/>
      </rPr>
      <t>r</t>
    </r>
    <r>
      <rPr>
        <sz val="6"/>
        <color rgb="FF231F20"/>
        <rFont val="Palatino-Roman"/>
      </rPr>
      <t xml:space="preserve">f </t>
    </r>
    <r>
      <rPr>
        <sz val="8"/>
        <color rgb="FF231F20"/>
        <rFont val="Palatino-Roman"/>
      </rPr>
      <t xml:space="preserve">+ </t>
    </r>
    <r>
      <rPr>
        <i/>
        <sz val="9"/>
        <color rgb="FF231F20"/>
        <rFont val="CMMI10"/>
      </rPr>
      <t>β</t>
    </r>
    <r>
      <rPr>
        <sz val="8"/>
        <color rgb="FF231F20"/>
        <rFont val="Palatino-Roman"/>
      </rPr>
      <t>(</t>
    </r>
    <r>
      <rPr>
        <i/>
        <sz val="9"/>
        <color rgb="FF231F20"/>
        <rFont val="CMMI10"/>
      </rPr>
      <t>r</t>
    </r>
    <r>
      <rPr>
        <sz val="6"/>
        <color rgb="FF231F20"/>
        <rFont val="Palatino-Roman"/>
      </rPr>
      <t xml:space="preserve">M </t>
    </r>
    <r>
      <rPr>
        <i/>
        <sz val="9"/>
        <color rgb="FF231F20"/>
        <rFont val="CMSY10"/>
      </rPr>
      <t xml:space="preserve">− </t>
    </r>
    <r>
      <rPr>
        <i/>
        <sz val="9"/>
        <color rgb="FF231F20"/>
        <rFont val="CMMI10"/>
      </rPr>
      <t>r</t>
    </r>
    <r>
      <rPr>
        <sz val="6"/>
        <color rgb="FF231F20"/>
        <rFont val="Palatino-Roman"/>
      </rPr>
      <t>f</t>
    </r>
    <r>
      <rPr>
        <sz val="8"/>
        <color rgb="FF231F20"/>
        <rFont val="Palatino-Roman"/>
      </rPr>
      <t>)</t>
    </r>
  </si>
  <si>
    <t>The share’s required return is 7 per cent, the risk-free rate is 4 per cent and</t>
  </si>
  <si>
    <t>the market risk premium is 5 per cent. Therefore we have:</t>
  </si>
  <si>
    <r>
      <t>0</t>
    </r>
    <r>
      <rPr>
        <i/>
        <sz val="9"/>
        <color rgb="FF231F20"/>
        <rFont val="CMMI10"/>
      </rPr>
      <t>.</t>
    </r>
    <r>
      <rPr>
        <sz val="8"/>
        <color rgb="FF231F20"/>
        <rFont val="Palatino-Roman"/>
      </rPr>
      <t>07 = 0</t>
    </r>
    <r>
      <rPr>
        <i/>
        <sz val="9"/>
        <color rgb="FF231F20"/>
        <rFont val="CMMI10"/>
      </rPr>
      <t>.</t>
    </r>
    <r>
      <rPr>
        <sz val="8"/>
        <color rgb="FF231F20"/>
        <rFont val="Palatino-Roman"/>
      </rPr>
      <t xml:space="preserve">04 + </t>
    </r>
    <r>
      <rPr>
        <i/>
        <sz val="9"/>
        <color rgb="FF231F20"/>
        <rFont val="CMMI10"/>
      </rPr>
      <t>β</t>
    </r>
    <r>
      <rPr>
        <sz val="8"/>
        <color rgb="FF231F20"/>
        <rFont val="Palatino-Roman"/>
      </rPr>
      <t>(0</t>
    </r>
    <r>
      <rPr>
        <i/>
        <sz val="9"/>
        <color rgb="FF231F20"/>
        <rFont val="CMMI10"/>
      </rPr>
      <t>.</t>
    </r>
    <r>
      <rPr>
        <sz val="8"/>
        <color rgb="FF231F20"/>
        <rFont val="Palatino-Roman"/>
      </rPr>
      <t>05)</t>
    </r>
  </si>
  <si>
    <r>
      <t xml:space="preserve">A beta of 0.6 satisfies the condition and hence </t>
    </r>
    <r>
      <rPr>
        <b/>
        <sz val="9"/>
        <color rgb="FF231F20"/>
        <rFont val="Palatino-Bold"/>
      </rPr>
      <t xml:space="preserve">A </t>
    </r>
    <r>
      <rPr>
        <sz val="9"/>
        <color rgb="FF231F20"/>
        <rFont val="Palatino-Roman"/>
      </rPr>
      <t>is correct.</t>
    </r>
  </si>
  <si>
    <r>
      <t xml:space="preserve">4.52 </t>
    </r>
    <r>
      <rPr>
        <sz val="9"/>
        <color rgb="FF231F20"/>
        <rFont val="Palatino-Roman"/>
      </rPr>
      <t>The equation for computing the after-tax cost of debt is</t>
    </r>
  </si>
  <si>
    <r>
      <t>k</t>
    </r>
    <r>
      <rPr>
        <sz val="6"/>
        <color rgb="FF231F20"/>
        <rFont val="Palatino-Roman"/>
      </rPr>
      <t>AT</t>
    </r>
  </si>
  <si>
    <r>
      <t xml:space="preserve">d </t>
    </r>
    <r>
      <rPr>
        <sz val="8"/>
        <color rgb="FF231F20"/>
        <rFont val="Palatino-Roman"/>
      </rPr>
      <t xml:space="preserve">= </t>
    </r>
    <r>
      <rPr>
        <i/>
        <sz val="9"/>
        <color rgb="FF231F20"/>
        <rFont val="CMMI10"/>
      </rPr>
      <t>k</t>
    </r>
    <r>
      <rPr>
        <sz val="6"/>
        <color rgb="FF231F20"/>
        <rFont val="Palatino-Roman"/>
      </rPr>
      <t>d</t>
    </r>
    <r>
      <rPr>
        <sz val="8"/>
        <color rgb="FF231F20"/>
        <rFont val="Palatino-Roman"/>
      </rPr>
      <t xml:space="preserve">(1 </t>
    </r>
    <r>
      <rPr>
        <i/>
        <sz val="9"/>
        <color rgb="FF231F20"/>
        <rFont val="CMSY10"/>
      </rPr>
      <t xml:space="preserve">− </t>
    </r>
    <r>
      <rPr>
        <i/>
        <sz val="9"/>
        <color rgb="FF231F20"/>
        <rFont val="CMMI10"/>
      </rPr>
      <t>T</t>
    </r>
    <r>
      <rPr>
        <sz val="8"/>
        <color rgb="FF231F20"/>
        <rFont val="Palatino-Roman"/>
      </rPr>
      <t>)</t>
    </r>
  </si>
  <si>
    <r>
      <t>We know that the tax rate (</t>
    </r>
    <r>
      <rPr>
        <i/>
        <sz val="9"/>
        <color rgb="FF231F20"/>
        <rFont val="Palatino-Italic"/>
      </rPr>
      <t>T</t>
    </r>
    <r>
      <rPr>
        <sz val="9"/>
        <color rgb="FF231F20"/>
        <rFont val="Palatino-Roman"/>
      </rPr>
      <t>) = 0.35 and the after-tax cost of debt = 6.35</t>
    </r>
  </si>
  <si>
    <t>per cent. Rearranging, we have</t>
  </si>
  <si>
    <r>
      <t xml:space="preserve">Mergers and Acquisitions </t>
    </r>
    <r>
      <rPr>
        <i/>
        <sz val="6"/>
        <color rgb="FF008084"/>
        <rFont val="ItcEras-Medium"/>
      </rPr>
      <t xml:space="preserve">Edinburgh Business School </t>
    </r>
    <r>
      <rPr>
        <sz val="8"/>
        <color rgb="FF231F20"/>
        <rFont val="Frutiger-Roman"/>
      </rPr>
      <t>A1/9</t>
    </r>
  </si>
  <si>
    <t>Appendix 1 / Answers to Review Questions</t>
  </si>
  <si>
    <r>
      <t>k</t>
    </r>
    <r>
      <rPr>
        <sz val="6"/>
        <color rgb="FF000000"/>
        <rFont val="Palatino-Roman"/>
      </rPr>
      <t xml:space="preserve">d </t>
    </r>
    <r>
      <rPr>
        <sz val="8"/>
        <color rgb="FF000000"/>
        <rFont val="Palatino-Roman"/>
      </rPr>
      <t>= 6</t>
    </r>
    <r>
      <rPr>
        <i/>
        <sz val="9"/>
        <color rgb="FF000000"/>
        <rFont val="CMMI10"/>
      </rPr>
      <t>.</t>
    </r>
    <r>
      <rPr>
        <sz val="8"/>
        <color rgb="FF000000"/>
        <rFont val="Palatino-Roman"/>
      </rPr>
      <t>35</t>
    </r>
  </si>
  <si>
    <r>
      <t xml:space="preserve">(1 </t>
    </r>
    <r>
      <rPr>
        <i/>
        <sz val="9"/>
        <color rgb="FF000000"/>
        <rFont val="CMSY10"/>
      </rPr>
      <t xml:space="preserve">− </t>
    </r>
    <r>
      <rPr>
        <sz val="8"/>
        <color rgb="FF000000"/>
        <rFont val="Palatino-Roman"/>
      </rPr>
      <t>0</t>
    </r>
    <r>
      <rPr>
        <i/>
        <sz val="9"/>
        <color rgb="FF000000"/>
        <rFont val="CMMI10"/>
      </rPr>
      <t>.</t>
    </r>
    <r>
      <rPr>
        <sz val="8"/>
        <color rgb="FF000000"/>
        <rFont val="Palatino-Roman"/>
      </rPr>
      <t>35)</t>
    </r>
  </si>
  <si>
    <r>
      <t>= 9</t>
    </r>
    <r>
      <rPr>
        <i/>
        <sz val="9"/>
        <color rgb="FF000000"/>
        <rFont val="CMMI10"/>
      </rPr>
      <t>.</t>
    </r>
    <r>
      <rPr>
        <sz val="8"/>
        <color rgb="FF000000"/>
        <rFont val="Palatino-Roman"/>
      </rPr>
      <t>96 per cent</t>
    </r>
  </si>
  <si>
    <r>
      <t xml:space="preserve">So </t>
    </r>
    <r>
      <rPr>
        <b/>
        <sz val="9"/>
        <color rgb="FF000000"/>
        <rFont val="Palatino-Bold"/>
      </rPr>
      <t xml:space="preserve">A </t>
    </r>
    <r>
      <rPr>
        <sz val="9"/>
        <color rgb="FF000000"/>
        <rFont val="Palatino-Roman"/>
      </rPr>
      <t>is the right answer.</t>
    </r>
  </si>
  <si>
    <r>
      <t xml:space="preserve">4.62 </t>
    </r>
    <r>
      <rPr>
        <sz val="9"/>
        <color rgb="FF231F20"/>
        <rFont val="Palatino-Roman"/>
      </rPr>
      <t>The present value of $1.35 million paid in year 9 is</t>
    </r>
  </si>
  <si>
    <r>
      <t xml:space="preserve">So </t>
    </r>
    <r>
      <rPr>
        <b/>
        <sz val="9"/>
        <color rgb="FF231F20"/>
        <rFont val="Palatino-Bold"/>
      </rPr>
      <t xml:space="preserve">A </t>
    </r>
    <r>
      <rPr>
        <sz val="9"/>
        <color rgb="FF231F20"/>
        <rFont val="Palatino-Roman"/>
      </rPr>
      <t>is correct.</t>
    </r>
  </si>
  <si>
    <t>A £2.48 million.</t>
  </si>
  <si>
    <t>B £2.98 million.</t>
  </si>
  <si>
    <t>C £3.72 million.</t>
  </si>
  <si>
    <t>D £4.46 million.</t>
  </si>
  <si>
    <t>T=</t>
  </si>
  <si>
    <t>D=</t>
  </si>
  <si>
    <t>triệu bảng Anh</t>
  </si>
  <si>
    <t>I=</t>
  </si>
  <si>
    <t>Thuế suất thuế doanh nghiệp là 40%. Công ty này đã mượn 120 triệu bảng ở mức 6,2%. Hỏi lá chắn thuế đối với món nợ vay là bao nhiêu?</t>
  </si>
  <si>
    <t>Lãi suất phải trả của công ty</t>
  </si>
  <si>
    <t xml:space="preserve">No debt </t>
  </si>
  <si>
    <t>Debt</t>
  </si>
  <si>
    <t xml:space="preserve">Profit before tax </t>
  </si>
  <si>
    <t xml:space="preserve">Interest </t>
  </si>
  <si>
    <t xml:space="preserve">Profit after interest </t>
  </si>
  <si>
    <t>Tax at 40%</t>
  </si>
  <si>
    <t xml:space="preserve">Net profit </t>
  </si>
  <si>
    <t xml:space="preserve"> = 120 × 0.062</t>
  </si>
  <si>
    <t>Lá chắn thuế:</t>
  </si>
  <si>
    <t>Diff=</t>
  </si>
  <si>
    <r>
      <t xml:space="preserve">4.51 </t>
    </r>
    <r>
      <rPr>
        <sz val="8"/>
        <color rgb="FF231F20"/>
        <rFont val="Frutiger-Roman"/>
      </rPr>
      <t>The market risk premium is 5 per cent and the risk-free interest rate is 4</t>
    </r>
  </si>
  <si>
    <t>per cent. An analyst calculates that, using the capital asset pricing model, the</t>
  </si>
  <si>
    <t>required return is 7 per cent. Which of the following is the share’s beta?</t>
  </si>
  <si>
    <t>A 0.6.</t>
  </si>
  <si>
    <t>B 0.7.</t>
  </si>
  <si>
    <t>C 0.9.</t>
  </si>
  <si>
    <t>D 1.0.</t>
  </si>
  <si>
    <t>Phí bảo hiểm rủi ro thị trường là 5% và lãi suất phi rủi ro là 4%. Một nhà phân tích tính rằng, sử dụng mô hình định giá tài sản vốn, lợi tức yêu cầu là 7 phần trăm. Hỏi beta của cổ phiếu là bao nhiêu?</t>
  </si>
  <si>
    <t>r = rf + β(rM − rf)</t>
  </si>
  <si>
    <t>rf=</t>
  </si>
  <si>
    <t>β=</t>
  </si>
  <si>
    <t>Đáp án</t>
  </si>
  <si>
    <t>0.07 = 0.04 + β(0.05)</t>
  </si>
  <si>
    <r>
      <t xml:space="preserve">4.70 </t>
    </r>
    <r>
      <rPr>
        <sz val="9"/>
        <color rgb="FF231F20"/>
        <rFont val="Palatino-Roman"/>
      </rPr>
      <t>To find the appropriate mix, we must value the choices at both the 12 per</t>
    </r>
  </si>
  <si>
    <t>cent and the 8 per cent rate of interest:</t>
  </si>
  <si>
    <t>Rank</t>
  </si>
  <si>
    <t>We would want to choose III if interest rates were 12 per cent giving a value</t>
  </si>
  <si>
    <r>
      <t xml:space="preserve">So </t>
    </r>
    <r>
      <rPr>
        <b/>
        <sz val="9"/>
        <color rgb="FF000000"/>
        <rFont val="Palatino-Bold"/>
      </rPr>
      <t xml:space="preserve">C </t>
    </r>
    <r>
      <rPr>
        <sz val="9"/>
        <color rgb="FF000000"/>
        <rFont val="Palatino-Roman"/>
      </rPr>
      <t>is correct.</t>
    </r>
  </si>
  <si>
    <t xml:space="preserve">Option </t>
  </si>
  <si>
    <t>Value at 12 per cent</t>
  </si>
  <si>
    <t xml:space="preserve">Rank </t>
  </si>
  <si>
    <t>Value at 8 per cent</t>
  </si>
  <si>
    <t xml:space="preserve">I </t>
  </si>
  <si>
    <t>II</t>
  </si>
  <si>
    <t xml:space="preserve">III </t>
  </si>
  <si>
    <t xml:space="preserve">IV </t>
  </si>
  <si>
    <r>
      <t xml:space="preserve">4.70 </t>
    </r>
    <r>
      <rPr>
        <sz val="8"/>
        <color rgb="FF231F20"/>
        <rFont val="Frutiger-Roman"/>
      </rPr>
      <t>As the winner of a competition, you can choose the following prizes:</t>
    </r>
  </si>
  <si>
    <t>I £180 000 at the end of 5 years</t>
  </si>
  <si>
    <t>III £19 000 per year for 10 years</t>
  </si>
  <si>
    <t>IV £6500 next year and thereafter increasing at 5 per cent per year forever</t>
  </si>
  <si>
    <t>Which option is most attractive at a 12 per cent rate of interest and at 8 per cent rate of interest?</t>
  </si>
  <si>
    <t>A Choose I if interest rates are 12 per cent and choose II if interest rates are 8 per cent</t>
  </si>
  <si>
    <t>B Choose II if interest rates are 12 per cent and choose III if interest rates are 8 per cent</t>
  </si>
  <si>
    <t>C Choose III if interest rates are 12 per cent and choose IV if interest rates are 8 per cent</t>
  </si>
  <si>
    <t>D Choose IV if interest rates are 12 per cent and choose I if interest rates are 8 per cent</t>
  </si>
  <si>
    <t>Là người chiến thắng trong cuộc thi, bạn có thể chọn các giải thưởng sau:</t>
  </si>
  <si>
    <t>II £ 11 400 mỗi năm</t>
  </si>
  <si>
    <t>III £ 19 000 một năm trong 10 năm</t>
  </si>
  <si>
    <t>IV £ 6500 trong năm tới và sau đó tăng lên 5 phần trăm mỗi năm mãi mãi</t>
  </si>
  <si>
    <t>Lựa chọn</t>
  </si>
  <si>
    <t>Giá trị tại 12%</t>
  </si>
  <si>
    <t>Xếp hạng</t>
  </si>
  <si>
    <t>Giá trị tại 8%</t>
  </si>
  <si>
    <t>B Chọn II nếu lãi suất là 12% và chọn III nếu lãi suất là 8%</t>
  </si>
  <si>
    <t>C Chọn III nếu lãi suất là 12% và chọn IV nếu lãi suất là 8%</t>
  </si>
  <si>
    <t>D Chọn IV nếu lãi suất là 12% và chọn I nếu lãi suất là 8%</t>
  </si>
  <si>
    <t>Hỏi lựa chọn nào hấp dẫn nhất với lãi suất 12% và lãi suất 8%? Giải thích</t>
  </si>
  <si>
    <t>A Chọn I nếu lãi suất là 12% và chọn II nếu lãi suất là 8%</t>
  </si>
  <si>
    <t>I £ 180 000 vào cuối năm 5</t>
  </si>
  <si>
    <t xml:space="preserve">FV =PV  (1+r)^n </t>
  </si>
  <si>
    <t>r1=</t>
  </si>
  <si>
    <t>r2=</t>
  </si>
  <si>
    <r>
      <t xml:space="preserve">NAM = </t>
    </r>
    <r>
      <rPr>
        <i/>
        <sz val="9"/>
        <color rgb="FF231F20"/>
        <rFont val="CMMI10"/>
      </rPr>
      <t>V</t>
    </r>
    <r>
      <rPr>
        <sz val="6"/>
        <color rgb="FF231F20"/>
        <rFont val="Palatino-Roman"/>
      </rPr>
      <t xml:space="preserve">AB </t>
    </r>
    <r>
      <rPr>
        <i/>
        <sz val="9"/>
        <color rgb="FF231F20"/>
        <rFont val="CMSY10"/>
      </rPr>
      <t xml:space="preserve">− </t>
    </r>
    <r>
      <rPr>
        <sz val="8"/>
        <color rgb="FF231F20"/>
        <rFont val="Palatino-Roman"/>
      </rPr>
      <t>(</t>
    </r>
    <r>
      <rPr>
        <i/>
        <sz val="9"/>
        <color rgb="FF231F20"/>
        <rFont val="CMMI10"/>
      </rPr>
      <t>V</t>
    </r>
    <r>
      <rPr>
        <sz val="6"/>
        <color rgb="FF231F20"/>
        <rFont val="Palatino-Roman"/>
      </rPr>
      <t xml:space="preserve">B </t>
    </r>
    <r>
      <rPr>
        <sz val="8"/>
        <color rgb="FF231F20"/>
        <rFont val="Palatino-Roman"/>
      </rPr>
      <t xml:space="preserve">+ </t>
    </r>
    <r>
      <rPr>
        <i/>
        <sz val="9"/>
        <color rgb="FF231F20"/>
        <rFont val="CMMI10"/>
      </rPr>
      <t>P</t>
    </r>
    <r>
      <rPr>
        <sz val="6"/>
        <color rgb="FF231F20"/>
        <rFont val="Palatino-Roman"/>
      </rPr>
      <t>B</t>
    </r>
    <r>
      <rPr>
        <sz val="8"/>
        <color rgb="FF231F20"/>
        <rFont val="Palatino-Roman"/>
      </rPr>
      <t xml:space="preserve">) </t>
    </r>
    <r>
      <rPr>
        <i/>
        <sz val="9"/>
        <color rgb="FF231F20"/>
        <rFont val="CMSY10"/>
      </rPr>
      <t xml:space="preserve">− </t>
    </r>
    <r>
      <rPr>
        <i/>
        <sz val="9"/>
        <color rgb="FF231F20"/>
        <rFont val="CMMI10"/>
      </rPr>
      <t xml:space="preserve">E </t>
    </r>
    <r>
      <rPr>
        <i/>
        <sz val="9"/>
        <color rgb="FF231F20"/>
        <rFont val="CMSY10"/>
      </rPr>
      <t xml:space="preserve">− </t>
    </r>
    <r>
      <rPr>
        <i/>
        <sz val="9"/>
        <color rgb="FF231F20"/>
        <rFont val="CMMI10"/>
      </rPr>
      <t>V</t>
    </r>
    <r>
      <rPr>
        <sz val="6"/>
        <color rgb="FF231F20"/>
        <rFont val="Palatino-Roman"/>
      </rPr>
      <t>A</t>
    </r>
  </si>
  <si>
    <r>
      <t xml:space="preserve">net outcome of merging </t>
    </r>
    <r>
      <rPr>
        <sz val="9"/>
        <color rgb="FF231F20"/>
        <rFont val="Palatino-Roman"/>
      </rPr>
      <t>(NAM),</t>
    </r>
  </si>
  <si>
    <r>
      <t>NAM = [</t>
    </r>
    <r>
      <rPr>
        <i/>
        <sz val="9"/>
        <color rgb="FF231F20"/>
        <rFont val="CMMI10"/>
      </rPr>
      <t>V</t>
    </r>
    <r>
      <rPr>
        <sz val="6"/>
        <color rgb="FF231F20"/>
        <rFont val="Palatino-Roman"/>
      </rPr>
      <t xml:space="preserve">AB </t>
    </r>
    <r>
      <rPr>
        <i/>
        <sz val="9"/>
        <color rgb="FF231F20"/>
        <rFont val="CMSY10"/>
      </rPr>
      <t xml:space="preserve">− </t>
    </r>
    <r>
      <rPr>
        <sz val="8"/>
        <color rgb="FF231F20"/>
        <rFont val="Palatino-Roman"/>
      </rPr>
      <t>(</t>
    </r>
    <r>
      <rPr>
        <i/>
        <sz val="9"/>
        <color rgb="FF231F20"/>
        <rFont val="CMMI10"/>
      </rPr>
      <t>V</t>
    </r>
    <r>
      <rPr>
        <sz val="6"/>
        <color rgb="FF231F20"/>
        <rFont val="Palatino-Roman"/>
      </rPr>
      <t xml:space="preserve">A </t>
    </r>
    <r>
      <rPr>
        <sz val="8"/>
        <color rgb="FF231F20"/>
        <rFont val="Palatino-Roman"/>
      </rPr>
      <t xml:space="preserve">+ </t>
    </r>
    <r>
      <rPr>
        <i/>
        <sz val="9"/>
        <color rgb="FF231F20"/>
        <rFont val="CMMI10"/>
      </rPr>
      <t>V</t>
    </r>
    <r>
      <rPr>
        <sz val="6"/>
        <color rgb="FF231F20"/>
        <rFont val="Palatino-Roman"/>
      </rPr>
      <t>B</t>
    </r>
    <r>
      <rPr>
        <sz val="8"/>
        <color rgb="FF231F20"/>
        <rFont val="Palatino-Roman"/>
      </rPr>
      <t xml:space="preserve">)] </t>
    </r>
    <r>
      <rPr>
        <i/>
        <sz val="9"/>
        <color rgb="FF231F20"/>
        <rFont val="CMSY10"/>
      </rPr>
      <t xml:space="preserve">− </t>
    </r>
    <r>
      <rPr>
        <i/>
        <sz val="9"/>
        <color rgb="FF231F20"/>
        <rFont val="CMMI10"/>
      </rPr>
      <t>P</t>
    </r>
    <r>
      <rPr>
        <sz val="6"/>
        <color rgb="FF231F20"/>
        <rFont val="Palatino-Roman"/>
      </rPr>
      <t xml:space="preserve">B </t>
    </r>
    <r>
      <rPr>
        <i/>
        <sz val="9"/>
        <color rgb="FF231F20"/>
        <rFont val="CMSY10"/>
      </rPr>
      <t xml:space="preserve">− </t>
    </r>
    <r>
      <rPr>
        <i/>
        <sz val="9"/>
        <color rgb="FF231F20"/>
        <rFont val="CMMI10"/>
      </rPr>
      <t>E</t>
    </r>
  </si>
  <si>
    <r>
      <t xml:space="preserve">Gain = PV(AB) </t>
    </r>
    <r>
      <rPr>
        <i/>
        <sz val="9"/>
        <color rgb="FF231F20"/>
        <rFont val="CMSY10"/>
      </rPr>
      <t xml:space="preserve">− </t>
    </r>
    <r>
      <rPr>
        <sz val="8"/>
        <color rgb="FF231F20"/>
        <rFont val="Palatino-Roman"/>
      </rPr>
      <t>[PV(A) + PV(B)]</t>
    </r>
  </si>
  <si>
    <r>
      <t xml:space="preserve">Cost = Cash price </t>
    </r>
    <r>
      <rPr>
        <i/>
        <sz val="9"/>
        <color rgb="FF231F20"/>
        <rFont val="CMSY10"/>
      </rPr>
      <t xml:space="preserve">− </t>
    </r>
    <r>
      <rPr>
        <sz val="8"/>
        <color rgb="FF231F20"/>
        <rFont val="Palatino-Roman"/>
      </rPr>
      <t>PV(B)</t>
    </r>
  </si>
  <si>
    <t>g=</t>
  </si>
  <si>
    <r>
      <t>V</t>
    </r>
    <r>
      <rPr>
        <sz val="6"/>
        <color rgb="FF000000"/>
        <rFont val="Palatino-Roman"/>
      </rPr>
      <t xml:space="preserve">0 </t>
    </r>
    <r>
      <rPr>
        <sz val="8"/>
        <color rgb="FF000000"/>
        <rFont val="Palatino-Roman"/>
      </rPr>
      <t>= FCF</t>
    </r>
    <r>
      <rPr>
        <sz val="6"/>
        <color rgb="FF000000"/>
        <rFont val="Palatino-Roman"/>
      </rPr>
      <t xml:space="preserve">1 </t>
    </r>
  </si>
  <si>
    <t>: r</t>
  </si>
  <si>
    <r>
      <t>V</t>
    </r>
    <r>
      <rPr>
        <sz val="6"/>
        <color rgb="FF231F20"/>
        <rFont val="Palatino-Roman"/>
      </rPr>
      <t xml:space="preserve">0 </t>
    </r>
    <r>
      <rPr>
        <sz val="8"/>
        <color rgb="FF231F20"/>
        <rFont val="Palatino-Roman"/>
      </rPr>
      <t>= FCF</t>
    </r>
    <r>
      <rPr>
        <sz val="6"/>
        <color rgb="FF231F20"/>
        <rFont val="Palatino-Roman"/>
      </rPr>
      <t>1</t>
    </r>
  </si>
  <si>
    <t>: (r-g)</t>
  </si>
  <si>
    <t>PV</t>
  </si>
  <si>
    <t>NPV</t>
  </si>
  <si>
    <t>Tính NPV của từng lựa chọn</t>
  </si>
  <si>
    <t>of £107 354 and VI if interest rates were 8 per cent giving a value of £216 667.</t>
  </si>
  <si>
    <t>If the after-tax yield (internal rate of return) on a company’s outstanding debt is 6.35 per cent and the corporate tax rate is 35 per cent, which of the following is the pre-tax yield (or interest rate) on the company’s debt?</t>
  </si>
  <si>
    <r>
      <t>•</t>
    </r>
    <r>
      <rPr>
        <i/>
        <sz val="12"/>
        <color rgb="FF000000"/>
        <rFont val="Calibri"/>
        <family val="2"/>
        <scheme val="minor"/>
      </rPr>
      <t>Cost of Debt (k</t>
    </r>
    <r>
      <rPr>
        <i/>
        <vertAlign val="subscript"/>
        <sz val="12"/>
        <color rgb="FF000000"/>
        <rFont val="Calibri"/>
        <family val="2"/>
        <scheme val="minor"/>
      </rPr>
      <t>d</t>
    </r>
    <r>
      <rPr>
        <i/>
        <sz val="12"/>
        <color rgb="FF000000"/>
        <rFont val="Calibri"/>
        <family val="2"/>
        <scheme val="minor"/>
      </rPr>
      <t>)</t>
    </r>
  </si>
  <si>
    <r>
      <t>k</t>
    </r>
    <r>
      <rPr>
        <vertAlign val="superscript"/>
        <sz val="12"/>
        <color rgb="FFFF0000"/>
        <rFont val="Calibri"/>
        <family val="2"/>
        <scheme val="minor"/>
      </rPr>
      <t>AT</t>
    </r>
    <r>
      <rPr>
        <vertAlign val="subscript"/>
        <sz val="12"/>
        <color rgb="FFFF0000"/>
        <rFont val="Calibri"/>
        <family val="2"/>
        <scheme val="minor"/>
      </rPr>
      <t>d</t>
    </r>
    <r>
      <rPr>
        <sz val="12"/>
        <color rgb="FFFF0000"/>
        <rFont val="Calibri"/>
        <family val="2"/>
        <scheme val="minor"/>
      </rPr>
      <t xml:space="preserve"> = </t>
    </r>
    <r>
      <rPr>
        <i/>
        <sz val="12"/>
        <color rgb="FFFF0000"/>
        <rFont val="Calibri"/>
        <family val="2"/>
        <scheme val="minor"/>
      </rPr>
      <t>k</t>
    </r>
    <r>
      <rPr>
        <vertAlign val="subscript"/>
        <sz val="12"/>
        <color rgb="FFFF0000"/>
        <rFont val="Calibri"/>
        <family val="2"/>
        <scheme val="minor"/>
      </rPr>
      <t>d</t>
    </r>
    <r>
      <rPr>
        <sz val="12"/>
        <color rgb="FFFF0000"/>
        <rFont val="Calibri"/>
        <family val="2"/>
        <scheme val="minor"/>
      </rPr>
      <t xml:space="preserve">(1 </t>
    </r>
    <r>
      <rPr>
        <i/>
        <sz val="12"/>
        <color rgb="FFFF0000"/>
        <rFont val="Calibri"/>
        <family val="2"/>
        <scheme val="minor"/>
      </rPr>
      <t>− T</t>
    </r>
    <r>
      <rPr>
        <sz val="12"/>
        <color rgb="FFFF0000"/>
        <rFont val="Calibri"/>
        <family val="2"/>
        <scheme val="minor"/>
      </rPr>
      <t>)</t>
    </r>
  </si>
  <si>
    <r>
      <t xml:space="preserve">where </t>
    </r>
    <r>
      <rPr>
        <i/>
        <sz val="12"/>
        <color rgb="FF000000"/>
        <rFont val="Calibri"/>
        <family val="2"/>
        <scheme val="minor"/>
      </rPr>
      <t>k</t>
    </r>
    <r>
      <rPr>
        <sz val="12"/>
        <color rgb="FF000000"/>
        <rFont val="Calibri"/>
        <family val="2"/>
        <scheme val="minor"/>
      </rPr>
      <t xml:space="preserve">d is the before tax cost of debt and </t>
    </r>
    <r>
      <rPr>
        <i/>
        <sz val="12"/>
        <color rgb="FF000000"/>
        <rFont val="Calibri"/>
        <family val="2"/>
        <scheme val="minor"/>
      </rPr>
      <t xml:space="preserve">T </t>
    </r>
    <r>
      <rPr>
        <sz val="12"/>
        <color rgb="FF000000"/>
        <rFont val="Calibri"/>
        <family val="2"/>
        <scheme val="minor"/>
      </rPr>
      <t>is the normal corporate tax rate.</t>
    </r>
  </si>
  <si>
    <r>
      <t>k</t>
    </r>
    <r>
      <rPr>
        <vertAlign val="superscript"/>
        <sz val="12"/>
        <color rgb="FFFF0000"/>
        <rFont val="Calibri"/>
        <family val="2"/>
        <scheme val="minor"/>
      </rPr>
      <t>AT</t>
    </r>
    <r>
      <rPr>
        <vertAlign val="subscript"/>
        <sz val="12"/>
        <color rgb="FFFF0000"/>
        <rFont val="Calibri"/>
        <family val="2"/>
        <scheme val="minor"/>
      </rPr>
      <t>d</t>
    </r>
    <r>
      <rPr>
        <sz val="12"/>
        <color rgb="FFFF0000"/>
        <rFont val="Calibri"/>
        <family val="2"/>
        <scheme val="minor"/>
      </rPr>
      <t xml:space="preserve"> =</t>
    </r>
  </si>
  <si>
    <r>
      <rPr>
        <sz val="12"/>
        <color rgb="FFFF0000"/>
        <rFont val="Calibri"/>
        <family val="2"/>
        <scheme val="minor"/>
      </rPr>
      <t xml:space="preserve"> </t>
    </r>
    <r>
      <rPr>
        <i/>
        <sz val="12"/>
        <color rgb="FFFF0000"/>
        <rFont val="Calibri"/>
        <family val="2"/>
        <scheme val="minor"/>
      </rPr>
      <t>k</t>
    </r>
    <r>
      <rPr>
        <vertAlign val="subscript"/>
        <sz val="12"/>
        <color rgb="FFFF0000"/>
        <rFont val="Calibri"/>
        <family val="2"/>
        <scheme val="minor"/>
      </rPr>
      <t>d=</t>
    </r>
  </si>
  <si>
    <t>Một cổ phiếu đang giao dịch ở mức 245 pence trên thị trường. Cổ tức kế tiếp là 22 pence và mức tăng trưởng trong tương lai dự đoán là 4 phần trăm. Hỏi tỷ lệ lợi tức yêu cầu của thị trường đối với cổ phần là bao nhiêu?</t>
  </si>
  <si>
    <t>P=</t>
  </si>
  <si>
    <t xml:space="preserve"> D/P + g</t>
  </si>
  <si>
    <t>If the cost of capital is 11 per cent, which of the following is the present value of $1.35 million paid in year 9?</t>
  </si>
  <si>
    <t>WACC=</t>
  </si>
  <si>
    <t>PV=</t>
  </si>
  <si>
    <t>FV9=</t>
  </si>
  <si>
    <t>triệu đô la</t>
  </si>
  <si>
    <t>Nếu chi phí vốn là 11 phần trăm, hỏi giá trị hiện tại của 1,35 triệu đô la được thanh toán trong năm thứ 9 là bao nhiêu?</t>
  </si>
  <si>
    <t>t=</t>
  </si>
  <si>
    <t>check</t>
  </si>
  <si>
    <t>The future value will be</t>
  </si>
  <si>
    <r>
      <t xml:space="preserve">£3500 </t>
    </r>
    <r>
      <rPr>
        <i/>
        <sz val="9"/>
        <color rgb="FF231F20"/>
        <rFont val="CMSY10"/>
      </rPr>
      <t xml:space="preserve">× </t>
    </r>
    <r>
      <rPr>
        <sz val="8"/>
        <color rgb="FF231F20"/>
        <rFont val="Palatino-Roman"/>
      </rPr>
      <t>(1</t>
    </r>
    <r>
      <rPr>
        <i/>
        <sz val="9"/>
        <color rgb="FF231F20"/>
        <rFont val="CMMI10"/>
      </rPr>
      <t>.</t>
    </r>
    <r>
      <rPr>
        <sz val="8"/>
        <color rgb="FF231F20"/>
        <rFont val="Palatino-Roman"/>
      </rPr>
      <t>13)</t>
    </r>
    <r>
      <rPr>
        <sz val="6"/>
        <color rgb="FF231F20"/>
        <rFont val="Palatino-Roman"/>
      </rPr>
      <t xml:space="preserve">7 </t>
    </r>
    <r>
      <rPr>
        <sz val="8"/>
        <color rgb="FF231F20"/>
        <rFont val="Palatino-Roman"/>
      </rPr>
      <t>= £8234</t>
    </r>
  </si>
  <si>
    <r>
      <t xml:space="preserve">So </t>
    </r>
    <r>
      <rPr>
        <b/>
        <sz val="9"/>
        <color rgb="FF231F20"/>
        <rFont val="Palatino-Bold"/>
      </rPr>
      <t xml:space="preserve">B </t>
    </r>
    <r>
      <rPr>
        <sz val="9"/>
        <color rgb="FF231F20"/>
        <rFont val="Palatino-Roman"/>
      </rPr>
      <t>is correct.</t>
    </r>
  </si>
  <si>
    <t>Which of the following is correct? If you invest £3500 at an interest rate of 13 per cent, you will have at the end of 7 years:</t>
  </si>
  <si>
    <t>FV=</t>
  </si>
  <si>
    <t>P(x)=</t>
  </si>
  <si>
    <t>C2</t>
  </si>
  <si>
    <t>P(Y)=</t>
  </si>
  <si>
    <t>P(XY)=</t>
  </si>
  <si>
    <t>rPM</t>
  </si>
  <si>
    <t>rM - rf</t>
  </si>
  <si>
    <t>tức</t>
  </si>
  <si>
    <t>Theo CAPM</t>
  </si>
  <si>
    <t>Nếu lợi tức sau thuế (tỷ suất nội địa) trên khoản nợ tồn đọng của công ty là 6,35 phần trăm và thuế suất thuế thu nhập doanh nghiệp là 35 phần trăm, hỏi mức lợi tức trước thuế (hoặc lãi suất) đối với nợ của công ty là bao nhiêu?</t>
  </si>
  <si>
    <t>FV = PV (1+r)^t</t>
  </si>
  <si>
    <t>Nếu bạn đầu tư £ 3500 với mức lãi suất 13%, số tiền bạn sẽ có sau 7 năm là bao nhiêu?</t>
  </si>
  <si>
    <t>Two firms merge. The bare details of their balance sheets are given below:</t>
  </si>
  <si>
    <t>Hai công ty hợp nhất. Những chi tiết cơ bản của bảng cân đối kế toán được trình bày dưới đây:</t>
  </si>
  <si>
    <t>FA</t>
  </si>
  <si>
    <t>NWC</t>
  </si>
  <si>
    <t>Firm Y</t>
  </si>
  <si>
    <t>Firm X acquires firm Y by issuing 14 million in equity. What will be the combined firms’ balance sheet using the ‘purchase accounting’ method?</t>
  </si>
  <si>
    <t>Công ty X mua lại công ty Y bằng cách phát hành 14 triệu cổ phiếu. Bảng cân đối của  công ty hợp nhất  sử dụng phương pháp 'kế toán mua' như thế nào?</t>
  </si>
  <si>
    <t>FA 55.3 29.0 E</t>
  </si>
  <si>
    <t>NWC 10.7 37.0 D</t>
  </si>
  <si>
    <t>66.0 66.0</t>
  </si>
  <si>
    <t>D</t>
  </si>
  <si>
    <t>Firm XY</t>
  </si>
  <si>
    <t>E</t>
  </si>
  <si>
    <t>In the purchase accounting method for mergers, the simplest way to compute the new items in the balance sheet is to consider what is being</t>
  </si>
  <si>
    <t>acquired:</t>
  </si>
  <si>
    <t>Purchase price for Y: 14.0</t>
  </si>
  <si>
    <r>
      <t xml:space="preserve">Less </t>
    </r>
    <r>
      <rPr>
        <sz val="9"/>
        <color rgb="FF231F20"/>
        <rFont val="Palatino-Roman"/>
      </rPr>
      <t>NWC of Y: 1.2</t>
    </r>
  </si>
  <si>
    <t>Value of assets being acquired by X 12.8</t>
  </si>
  <si>
    <t>Book value of Y 10.8</t>
  </si>
  <si>
    <t>Goodwill 2.0</t>
  </si>
  <si>
    <t>The combined firms will therefore have:</t>
  </si>
  <si>
    <t>Fixed assets of X 42.5</t>
  </si>
  <si>
    <t>Assets of Y 10.8</t>
  </si>
  <si>
    <t>Goodwill from Y 2.0</t>
  </si>
  <si>
    <t>Total fixed assets 55.3</t>
  </si>
  <si>
    <t>Net working capital of XY = 9.5 + 1.2 = 10.7</t>
  </si>
  <si>
    <t>There will be 14 million of new shares issued by X to acquire Y so the new</t>
  </si>
  <si>
    <t>equity will be 15.0 + 14.0 = 29.0. Since the assets must equal the liabilities,</t>
  </si>
  <si>
    <r>
      <t xml:space="preserve">there will be 55.3 </t>
    </r>
    <r>
      <rPr>
        <i/>
        <sz val="9"/>
        <color rgb="FF231F20"/>
        <rFont val="CMSY10"/>
      </rPr>
      <t xml:space="preserve">− </t>
    </r>
    <r>
      <rPr>
        <sz val="9"/>
        <color rgb="FF231F20"/>
        <rFont val="Palatino-Roman"/>
      </rPr>
      <t>29.0 of debt in the balance sheet = 37.0. The new balance</t>
    </r>
  </si>
  <si>
    <t>sheet will be:</t>
  </si>
  <si>
    <r>
      <t xml:space="preserve">FA stands for fixed assets and NWC for net working capital (current assets </t>
    </r>
    <r>
      <rPr>
        <i/>
        <sz val="20"/>
        <color rgb="FF231F20"/>
        <rFont val="Frutiger-Italic"/>
      </rPr>
      <t xml:space="preserve">less </t>
    </r>
    <r>
      <rPr>
        <sz val="20"/>
        <color rgb="FF231F20"/>
        <rFont val="Frutiger-Roman"/>
      </rPr>
      <t>current liabilities)</t>
    </r>
  </si>
  <si>
    <t>FA: Fixed asset</t>
  </si>
  <si>
    <t>NWC for net working capital (current assets less current liabilities)</t>
  </si>
  <si>
    <t>Asset</t>
  </si>
  <si>
    <t>Liability</t>
  </si>
  <si>
    <t>E for equity</t>
  </si>
  <si>
    <t>D for debt</t>
  </si>
  <si>
    <t>X mua Y giá</t>
  </si>
  <si>
    <t>NWC của Y</t>
  </si>
  <si>
    <t>Giá mua =</t>
  </si>
  <si>
    <t>Giá trị tài sản được mua bởi X</t>
  </si>
  <si>
    <t>Giá trị sổ sách của Y</t>
  </si>
  <si>
    <t>Goodwill</t>
  </si>
  <si>
    <t>Kết hợp 2 công ty với nhau</t>
  </si>
  <si>
    <t>FA = FA của X + book value của Y + goodwill</t>
  </si>
  <si>
    <t>NWC = NWC của X + NWC của Y</t>
  </si>
  <si>
    <t>E = E của X + 14 triệu cP do X mua Y</t>
  </si>
  <si>
    <t>D = FA + NWC - E</t>
  </si>
  <si>
    <t>effectively adds the balance sheet of A and B. The schematics of how A and B</t>
  </si>
  <si>
    <t>report post-acquisition using such a pooling arrangement is given in Table 4.26.</t>
  </si>
  <si>
    <t>Kế toán hợp nhất (được biết đến ở Hoa Kỳ là "tổng hợp các lợi ích")</t>
  </si>
  <si>
    <t>Bổ sung thêm bảng cân đối kế toán của A và B. Sơ đồ cách A và B</t>
  </si>
  <si>
    <t>Báo cáo sau khi mua lại bằng cách sử dụng cách bố trí tổng hợp được trình bày trong Bảng 4.26.</t>
  </si>
  <si>
    <t xml:space="preserve">Trong kế toán mua lại (ở Hoa Kỳ gọi là 'kế toán mua'), giá mua đó tạo ra giá trị của việc mua lại cho mục đích báo cáo. </t>
  </si>
  <si>
    <t>Giả sử rằng B được mua với giá 3,6 triệu bảng Anh; Thì sau khi mua lại bảng cân đối kế toán sẽ được thể hiện trong Bảng 4.27</t>
  </si>
  <si>
    <t>Giá mua lai=</t>
  </si>
  <si>
    <t>Firm A</t>
  </si>
  <si>
    <t>Firm B</t>
  </si>
  <si>
    <t>A mua B giá</t>
  </si>
  <si>
    <t>NWC của B</t>
  </si>
  <si>
    <t>Giá trị tài sản được mua bởi A</t>
  </si>
  <si>
    <t>Firm AB</t>
  </si>
  <si>
    <t>Đây là một tài sản vô hình và không được đưa vào bảng cân đối kế toán của B.</t>
  </si>
  <si>
    <t xml:space="preserve">Khi mua lại B, công ty A có thể phải trả giá trị liên quan tới B, chẳng hạn như công nghệ, bằng sáng chế, bí quyết hoặc quy trình.  Theo phương pháp mua, A được xem như mua một tài sản trị giá 3,6 triệu bảng. </t>
  </si>
  <si>
    <t xml:space="preserve">Để có được các tài khoản để cân bằng, A sẽ tạo ra một loại tài sản mới được gọi là goodwill. </t>
  </si>
  <si>
    <t>Đây sẽ là sự khác biệt giữa giá trị kế toán của tài sản với giá thanh toán cho chúng:</t>
  </si>
  <si>
    <t>In acquiring B, firm A may be paying for the going concern value of B, such as its technology, patents, know-how or processes. This is an intangible asset and</t>
  </si>
  <si>
    <t>is not included on B’s balance sheet. Under the purchase method, A is viewedas buying an asset worth £3.6 million. In order to get the accounts to balance,</t>
  </si>
  <si>
    <t>A will create a new asset category called goodwill. This will be the difference</t>
  </si>
  <si>
    <t>between the accounting value of the assets and the price paid for them:</t>
  </si>
  <si>
    <t>As goodwill is an asset, it has to be either immediately written off or, in special circumstances, may be amortised over a set period (in the US, this is not to exceed 40 years). The effect will be to reduce reported income by £1.6m/40 =</t>
  </si>
  <si>
    <t>£40 000 per annum. In addition, this charge is not tax deductible (as it is not an allowance).</t>
  </si>
  <si>
    <t>Note that the cash flows from the pooling and purchase transactions are the same in both cases. However, managers prefer to account for acquisitions using merger accounting treatments. This is because there is no need to write off goodwill, and reported income will be higher as with purchase accounting there will be added depreciation (of the goodwill).</t>
  </si>
  <si>
    <t>Khi lợi thế thương mại là một tài sản, nó phải được xoá ngay lập tức hoặc, trong trường hợp đặc biệt, có thể được phân bổ (khấu hao) trong một khoảng thời gian nhất định (ở Mỹ, không quá 40 năm). Kết quả là để giảm thu nhập báo cáo của £ 1,6m / 40 = £ 40 000 một năm. Ngoài ra, phí này không phải là khoản khấu trừ thuế (vì nó không phải là một khoản trợ cấp).</t>
  </si>
  <si>
    <t>Lợi thế thương mại</t>
  </si>
  <si>
    <t>Tài sản</t>
  </si>
  <si>
    <t>Nguồn vốn</t>
  </si>
  <si>
    <r>
      <t xml:space="preserve">In </t>
    </r>
    <r>
      <rPr>
        <b/>
        <i/>
        <sz val="11"/>
        <color theme="1"/>
        <rFont val="Calibri"/>
        <family val="2"/>
        <scheme val="minor"/>
      </rPr>
      <t>acquisition accounting</t>
    </r>
    <r>
      <rPr>
        <i/>
        <sz val="11"/>
        <color theme="1"/>
        <rFont val="Calibri"/>
        <family val="2"/>
        <scheme val="minor"/>
      </rPr>
      <t xml:space="preserve"> (in the United States called ‘</t>
    </r>
    <r>
      <rPr>
        <b/>
        <i/>
        <sz val="11"/>
        <color theme="1"/>
        <rFont val="Calibri"/>
        <family val="2"/>
        <scheme val="minor"/>
      </rPr>
      <t>purchase accounting</t>
    </r>
    <r>
      <rPr>
        <i/>
        <sz val="11"/>
        <color theme="1"/>
        <rFont val="Calibri"/>
        <family val="2"/>
        <scheme val="minor"/>
      </rPr>
      <t>’) it is the purchase price that creates the value of the acquisition for reporting purposes. Assume that B is purchased for £3.6 million; then the balance sheet post-acquisition will be that shown in Table 4.27</t>
    </r>
  </si>
  <si>
    <r>
      <rPr>
        <b/>
        <sz val="11"/>
        <color theme="1"/>
        <rFont val="Calibri"/>
        <family val="2"/>
        <scheme val="minor"/>
      </rPr>
      <t>Merger accounting</t>
    </r>
    <r>
      <rPr>
        <sz val="11"/>
        <color theme="1"/>
        <rFont val="Calibri"/>
        <family val="2"/>
        <scheme val="minor"/>
      </rPr>
      <t xml:space="preserve"> (known in the United States as ‘a pooling of interests’)</t>
    </r>
  </si>
  <si>
    <t>Lưu ý rằng dòng tiền từ các giao dịch tổng hợp và mua đều giống nhau trong cả hai trường hợp. Tuy nhiên, các nhà quản lý muốn tính đến việc mua lại bằng phương pháp kế toán sáp nhập. Điều này là do không cần phải viết ra  lợi thế thương mại, và báo cáo thu nhập sẽ cao hơn  vì kế toán mua sẽ có thêm khấu hao (của lợi thế thương mại).</t>
  </si>
  <si>
    <r>
      <t xml:space="preserve">Tax shield at time </t>
    </r>
    <r>
      <rPr>
        <i/>
        <sz val="9"/>
        <color rgb="FF231F20"/>
        <rFont val="CMMI10"/>
      </rPr>
      <t xml:space="preserve">t </t>
    </r>
    <r>
      <rPr>
        <sz val="8"/>
        <color rgb="FF231F20"/>
        <rFont val="Palatino-Roman"/>
      </rPr>
      <t xml:space="preserve">= depreciation </t>
    </r>
    <r>
      <rPr>
        <i/>
        <sz val="9"/>
        <color rgb="FF231F20"/>
        <rFont val="CMSY10"/>
      </rPr>
      <t xml:space="preserve">× </t>
    </r>
    <r>
      <rPr>
        <sz val="8"/>
        <color rgb="FF231F20"/>
        <rFont val="Palatino-Roman"/>
      </rPr>
      <t>tax rate</t>
    </r>
  </si>
  <si>
    <t>where the depreciation is computed on the book value (for tax purposes) of</t>
  </si>
  <si>
    <t>the asset.</t>
  </si>
  <si>
    <t>Tax shield</t>
  </si>
  <si>
    <t xml:space="preserve">Year </t>
  </si>
  <si>
    <t xml:space="preserve">Book value </t>
  </si>
  <si>
    <t>Tax</t>
  </si>
  <si>
    <t>Tax allowance</t>
  </si>
  <si>
    <t xml:space="preserve">25 per cent </t>
  </si>
  <si>
    <t>32 per cent</t>
  </si>
  <si>
    <r>
      <t xml:space="preserve">So </t>
    </r>
    <r>
      <rPr>
        <b/>
        <sz val="9"/>
        <color rgb="FF231F20"/>
        <rFont val="Palatino-Bold"/>
      </rPr>
      <t xml:space="preserve">D </t>
    </r>
    <r>
      <rPr>
        <sz val="9"/>
        <color rgb="FF231F20"/>
        <rFont val="Palatino-Roman"/>
      </rPr>
      <t>is correct.</t>
    </r>
  </si>
  <si>
    <t>We can show this: If the profit before tax and tax allowance is £10 million,</t>
  </si>
  <si>
    <t>Profit 10.00 10.00</t>
  </si>
  <si>
    <t>Depreciation 2.88</t>
  </si>
  <si>
    <t>Profit for tax 7.12 10.00</t>
  </si>
  <si>
    <t>Tax at 32 per cent 2.28 3.20</t>
  </si>
  <si>
    <t>Difference 0.92</t>
  </si>
  <si>
    <t xml:space="preserve">With asset </t>
  </si>
  <si>
    <t>Without asset</t>
  </si>
  <si>
    <t>A UK company has an asset that it originally bought for £27.3 million three years ago. The capital allowance on the asset is 25 per cent and the corporation tax rate is 32 per cent. Which of the following will be the tax shield available in year 4?</t>
  </si>
  <si>
    <t>Asset value</t>
  </si>
  <si>
    <t>Capital Allowance</t>
  </si>
  <si>
    <t>Corporation tax rate</t>
  </si>
  <si>
    <t>Một công ty của Anh có một tài sản mà ban đầu nó đã mua với giá 27,3 triệu bảng cách đây ba năm. Mức hỗ trợ vốn đối với tài sản là 25 phần trăm và thuế suất thuế thu nhập doanh nghiệp là 32 phần trăm.  Hỏi lá chắn thuế có sẵn trong năm thứ 4 là bao nhiêu?</t>
  </si>
  <si>
    <t>We need to compute the tax depreciation schedule and the amount of the tax shield</t>
  </si>
  <si>
    <t>A firm has an equity market capitalisation of £75 million. It also has £35 million of outstanding debt. The corporate tax rate is 40 per cent. The estimated cost of its equity and debt are 14.8 per cent and 8.5 per cent respectively. Which of the following is the company’s weighted-average cost of capital?</t>
  </si>
  <si>
    <t>Một công ty có vốn hóa thị trường là 75 triệu bảng Anh và nợ là 35 triệu bảng Anh. Thuế suất thuế doanh nghiệp là 40%. Chi phí ước tính của vốn chủ sở hữu và nợ vay lần lượt là 14,8% và 8,5%. hỏi chi phí vốn bình quân gia quyền của công ty?</t>
  </si>
  <si>
    <t>Cost of capital</t>
  </si>
  <si>
    <t>Cost of debt</t>
  </si>
  <si>
    <t>WACC</t>
  </si>
  <si>
    <t>A company has a market value of equity of £350 million and outstanding debt of £150 million. The cost of equity is estimated as 12 per cent and that for the debt is 6 per cent. The beta of the equity is 1.4 and that of the debt is zero. The market risk premium is 5 per cent and the risk-free rate is 5 per cent. Which of the following is the unleveraged required return on the business (you may ignore taxes in this example)?</t>
  </si>
  <si>
    <t>Cost of equity</t>
  </si>
  <si>
    <t>Beta of equity</t>
  </si>
  <si>
    <t>Beta of debt</t>
  </si>
  <si>
    <t>risk-free rate</t>
  </si>
  <si>
    <t>D+ E=</t>
  </si>
  <si>
    <t>Ke</t>
  </si>
  <si>
    <t>Kd</t>
  </si>
  <si>
    <t>The market risk premium</t>
  </si>
  <si>
    <t>rf</t>
  </si>
  <si>
    <t>rM-rf</t>
  </si>
  <si>
    <t>There is a deadweight issuance cost of 6 per cent; the total benefit will</t>
  </si>
  <si>
    <t>therefore be:</t>
  </si>
  <si>
    <r>
      <t>£122</t>
    </r>
    <r>
      <rPr>
        <i/>
        <sz val="9"/>
        <color rgb="FF231F20"/>
        <rFont val="CMMI10"/>
      </rPr>
      <t>.</t>
    </r>
    <r>
      <rPr>
        <sz val="8"/>
        <color rgb="FF231F20"/>
        <rFont val="Palatino-Roman"/>
      </rPr>
      <t xml:space="preserve">6 </t>
    </r>
    <r>
      <rPr>
        <i/>
        <sz val="9"/>
        <color rgb="FF231F20"/>
        <rFont val="CMSY10"/>
      </rPr>
      <t xml:space="preserve">− </t>
    </r>
    <r>
      <rPr>
        <sz val="8"/>
        <color rgb="FF231F20"/>
        <rFont val="Palatino-Roman"/>
      </rPr>
      <t>£115</t>
    </r>
    <r>
      <rPr>
        <i/>
        <sz val="9"/>
        <color rgb="FF231F20"/>
        <rFont val="CMMI10"/>
      </rPr>
      <t>.</t>
    </r>
    <r>
      <rPr>
        <sz val="8"/>
        <color rgb="FF231F20"/>
        <rFont val="Palatino-Roman"/>
      </rPr>
      <t>4</t>
    </r>
    <r>
      <rPr>
        <i/>
        <sz val="9"/>
        <color rgb="FF231F20"/>
        <rFont val="CMMI10"/>
      </rPr>
      <t>/</t>
    </r>
    <r>
      <rPr>
        <sz val="8"/>
        <color rgb="FF231F20"/>
        <rFont val="Palatino-Roman"/>
      </rPr>
      <t xml:space="preserve">(1 </t>
    </r>
    <r>
      <rPr>
        <i/>
        <sz val="9"/>
        <color rgb="FF231F20"/>
        <rFont val="CMSY10"/>
      </rPr>
      <t xml:space="preserve">− </t>
    </r>
    <r>
      <rPr>
        <sz val="8"/>
        <color rgb="FF231F20"/>
        <rFont val="Palatino-Roman"/>
      </rPr>
      <t>0</t>
    </r>
    <r>
      <rPr>
        <i/>
        <sz val="9"/>
        <color rgb="FF231F20"/>
        <rFont val="CMMI10"/>
      </rPr>
      <t>.</t>
    </r>
    <r>
      <rPr>
        <sz val="8"/>
        <color rgb="FF231F20"/>
        <rFont val="Palatino-Roman"/>
      </rPr>
      <t xml:space="preserve">06) = </t>
    </r>
    <r>
      <rPr>
        <i/>
        <sz val="9"/>
        <color rgb="FF231F20"/>
        <rFont val="CMSY10"/>
      </rPr>
      <t>−</t>
    </r>
    <r>
      <rPr>
        <sz val="8"/>
        <color rgb="FF231F20"/>
        <rFont val="Palatino-Roman"/>
      </rPr>
      <t>£0</t>
    </r>
    <r>
      <rPr>
        <i/>
        <sz val="9"/>
        <color rgb="FF231F20"/>
        <rFont val="CMMI10"/>
      </rPr>
      <t>.</t>
    </r>
    <r>
      <rPr>
        <sz val="8"/>
        <color rgb="FF231F20"/>
        <rFont val="Palatino-Roman"/>
      </rPr>
      <t>2</t>
    </r>
  </si>
  <si>
    <t>the cost of equity capital = Risk-Free Rate + (Beta times Market Risk Premium).</t>
  </si>
  <si>
    <t>"beta"--that measures how risky a specific security is relative to the total market.</t>
  </si>
  <si>
    <t>Rủi ro thị trường - lãi suất phi rủi ro = rủi ro riêng lẻ của chứng khoán</t>
  </si>
  <si>
    <t>Cost</t>
  </si>
  <si>
    <t>issuing cost</t>
  </si>
  <si>
    <t>Net gain</t>
  </si>
  <si>
    <t>Value</t>
  </si>
  <si>
    <t>Phát hành cổ phiếu để có 115.4 với issuing cost là 6%</t>
  </si>
  <si>
    <t>Một công ty có một dự án với giá trị 122.6 triệu bảng Anh. Chi phí của nó là 115,4 triệu. Công ty đề xuất tăng tài trợ cho dự án bằng cách phát hành cổ phiếu. Chi phí phát hành (phí, hoa hồng, và các chi phí phát sinh khác) là 6 phần trăm tổng số vốn cổ phần phát hành. Hỏi lợi nhuận ròng từ dự án là bao nhiêu?</t>
  </si>
  <si>
    <t>Gọi x là tổng chi phí cần có cho dự án kể cả chi phí phát hành</t>
  </si>
  <si>
    <t>Chi phí phát hành là 6%x</t>
  </si>
  <si>
    <t>Ta có phương trình</t>
  </si>
  <si>
    <t>115.4 +6%x =x</t>
  </si>
  <si>
    <t>x=</t>
  </si>
  <si>
    <t>(1-6%)x</t>
  </si>
  <si>
    <t>115.4/(1-6%)</t>
  </si>
  <si>
    <t>Lợi nhuận</t>
  </si>
  <si>
    <t>An analyst has identified a potential expansion to an existing project that at a cost of £100 million promises to deliver a present value of £140 million in one year’s time if the market improves but only a present value of £60 million if the market deteriorates. The probability that the market will improve is given as 55 per cent. The one-year risk-free interest rate is 4 per cent.</t>
  </si>
  <si>
    <t>Which of the following will be the real option value from being able to wait and see what happens to the market? (Note: use a simple one-step binomial model to analyse this question.)</t>
  </si>
  <si>
    <t>Một nhà phân tích đã xác định tiềm năng mở rộng dự án hiện tại với chi phí 100 triệu bảng hứa hẹn sẽ đem lại giá trị hiện tại 140 triệu bảng trong một năm nếu thị trường cải thiện nhưng chỉ với giá trị hiện tại là 60 triệu bảng nếu thị trường suy thoái . Xác suất thị trường sẽ cải thiện được xác định là 55%. Lãi suất phi rủi ro (lãi suất không kỳ hạn) một năm là 4%. Hỏi giá trị thực từ việc chờ đợi và xem những gì xảy ra với thị trường? (Lưu ý: sử dụng mô hình nhị phân một bước đơn giản để phân tích câu hỏi này.)</t>
  </si>
  <si>
    <t>he net present value of the project (at the 12 per cent discount rate) is:</t>
  </si>
  <si>
    <t>T = 0 1 2 3 4 5</t>
  </si>
  <si>
    <t>(250) 60 95 85 60 (20)</t>
  </si>
  <si>
    <t>Discount rate</t>
  </si>
  <si>
    <t>0.12 0.8929 0.7972 0.7118 0.6355 0.5674</t>
  </si>
  <si>
    <t>(33.4) (250) 53.6 75.7 60.5 38.1 (11.3)</t>
  </si>
  <si>
    <t>The after-tax cash flows of a project are:</t>
  </si>
  <si>
    <t>If the risk-adjusted discount rate is 12 per cent, which of the following is correct?</t>
  </si>
  <si>
    <t>Dòng tiền sau thuế của 1 dự án như sau:</t>
  </si>
  <si>
    <t>Nếu lãi suất chiết khấu là 12%, hỏi NPV của dự án là bao nhiêu? Có thực hiện dự án hay không?</t>
  </si>
  <si>
    <r>
      <t xml:space="preserve">The project has a </t>
    </r>
    <r>
      <rPr>
        <b/>
        <sz val="14"/>
        <color rgb="FF231F20"/>
        <rFont val="Palatino-Bold"/>
      </rPr>
      <t xml:space="preserve">negative </t>
    </r>
    <r>
      <rPr>
        <sz val="14"/>
        <color rgb="FF231F20"/>
        <rFont val="Palatino-Roman"/>
      </rPr>
      <t>net present value. Under the net present value</t>
    </r>
  </si>
  <si>
    <r>
      <t xml:space="preserve">rule, we would only accept the project if it had a </t>
    </r>
    <r>
      <rPr>
        <b/>
        <sz val="14"/>
        <color rgb="FF231F20"/>
        <rFont val="Palatino-Bold"/>
      </rPr>
      <t xml:space="preserve">positive </t>
    </r>
    <r>
      <rPr>
        <sz val="14"/>
        <color rgb="FF231F20"/>
        <rFont val="Palatino-Roman"/>
      </rPr>
      <t>net present value.</t>
    </r>
  </si>
  <si>
    <r>
      <t xml:space="preserve">So </t>
    </r>
    <r>
      <rPr>
        <b/>
        <sz val="14"/>
        <color rgb="FF231F20"/>
        <rFont val="Palatino-Bold"/>
      </rPr>
      <t xml:space="preserve">C </t>
    </r>
    <r>
      <rPr>
        <sz val="14"/>
        <color rgb="FF231F20"/>
        <rFont val="Palatino-Roman"/>
      </rPr>
      <t>is the correct answer.</t>
    </r>
  </si>
  <si>
    <t>PV= FV/(1+r)^t</t>
  </si>
  <si>
    <t>&lt;0</t>
  </si>
  <si>
    <t>Không thực hiện dự án</t>
  </si>
  <si>
    <t>Hệ số Chiết khấu</t>
  </si>
  <si>
    <t>The net present value of the tanker will be</t>
  </si>
  <si>
    <r>
      <t xml:space="preserve">NPV = </t>
    </r>
    <r>
      <rPr>
        <i/>
        <sz val="9"/>
        <color rgb="FF231F20"/>
        <rFont val="CMSY10"/>
      </rPr>
      <t>−</t>
    </r>
    <r>
      <rPr>
        <sz val="8"/>
        <color rgb="FF231F20"/>
        <rFont val="Palatino-Roman"/>
      </rPr>
      <t>$30 +</t>
    </r>
  </si>
  <si>
    <r>
      <t xml:space="preserve">($12 </t>
    </r>
    <r>
      <rPr>
        <i/>
        <sz val="9"/>
        <color rgb="FF231F20"/>
        <rFont val="CMSY10"/>
      </rPr>
      <t xml:space="preserve">− </t>
    </r>
    <r>
      <rPr>
        <sz val="8"/>
        <color rgb="FF231F20"/>
        <rFont val="Palatino-Roman"/>
      </rPr>
      <t>$8)</t>
    </r>
  </si>
  <si>
    <r>
      <t>(1</t>
    </r>
    <r>
      <rPr>
        <i/>
        <sz val="9"/>
        <color rgb="FF231F20"/>
        <rFont val="CMMI10"/>
      </rPr>
      <t>.</t>
    </r>
    <r>
      <rPr>
        <sz val="8"/>
        <color rgb="FF231F20"/>
        <rFont val="Palatino-Roman"/>
      </rPr>
      <t>09)</t>
    </r>
    <r>
      <rPr>
        <i/>
        <sz val="6"/>
        <color rgb="FF231F20"/>
        <rFont val="CMMI7"/>
      </rPr>
      <t xml:space="preserve">t </t>
    </r>
    <r>
      <rPr>
        <sz val="8"/>
        <color rgb="FF231F20"/>
        <rFont val="Palatino-Roman"/>
      </rPr>
      <t>+</t>
    </r>
  </si>
  <si>
    <r>
      <t>(1</t>
    </r>
    <r>
      <rPr>
        <i/>
        <sz val="9"/>
        <color rgb="FF231F20"/>
        <rFont val="CMMI10"/>
      </rPr>
      <t>.</t>
    </r>
    <r>
      <rPr>
        <sz val="8"/>
        <color rgb="FF231F20"/>
        <rFont val="Palatino-Roman"/>
      </rPr>
      <t>09)</t>
    </r>
    <r>
      <rPr>
        <sz val="6"/>
        <color rgb="FF231F20"/>
        <rFont val="Palatino-Roman"/>
      </rPr>
      <t xml:space="preserve">15 </t>
    </r>
    <r>
      <rPr>
        <i/>
        <sz val="9"/>
        <color rgb="FF231F20"/>
        <rFont val="CMSY10"/>
      </rPr>
      <t>−</t>
    </r>
  </si>
  <si>
    <r>
      <t>(1</t>
    </r>
    <r>
      <rPr>
        <i/>
        <sz val="9"/>
        <color rgb="FF231F20"/>
        <rFont val="CMMI10"/>
      </rPr>
      <t>.</t>
    </r>
    <r>
      <rPr>
        <sz val="8"/>
        <color rgb="FF231F20"/>
        <rFont val="Palatino-Roman"/>
      </rPr>
      <t>09)</t>
    </r>
    <r>
      <rPr>
        <sz val="6"/>
        <color rgb="FF231F20"/>
        <rFont val="Palatino-Roman"/>
      </rPr>
      <t xml:space="preserve">5 </t>
    </r>
    <r>
      <rPr>
        <i/>
        <sz val="9"/>
        <color rgb="FF231F20"/>
        <rFont val="CMSY10"/>
      </rPr>
      <t>−</t>
    </r>
  </si>
  <si>
    <r>
      <t>(1</t>
    </r>
    <r>
      <rPr>
        <i/>
        <sz val="9"/>
        <color rgb="FF231F20"/>
        <rFont val="CMMI10"/>
      </rPr>
      <t>.</t>
    </r>
    <r>
      <rPr>
        <sz val="8"/>
        <color rgb="FF231F20"/>
        <rFont val="Palatino-Roman"/>
      </rPr>
      <t>09)</t>
    </r>
    <r>
      <rPr>
        <sz val="6"/>
        <color rgb="FF231F20"/>
        <rFont val="Palatino-Roman"/>
      </rPr>
      <t xml:space="preserve">10 </t>
    </r>
    <r>
      <rPr>
        <sz val="8"/>
        <color rgb="FF231F20"/>
        <rFont val="Palatino-Roman"/>
      </rPr>
      <t>= $0</t>
    </r>
    <r>
      <rPr>
        <i/>
        <sz val="9"/>
        <color rgb="FF231F20"/>
        <rFont val="CMMI10"/>
      </rPr>
      <t>.</t>
    </r>
    <r>
      <rPr>
        <sz val="8"/>
        <color rgb="FF231F20"/>
        <rFont val="Palatino-Roman"/>
      </rPr>
      <t>398 million</t>
    </r>
  </si>
  <si>
    <r>
      <t xml:space="preserve">So </t>
    </r>
    <r>
      <rPr>
        <b/>
        <sz val="9"/>
        <color rgb="FF231F20"/>
        <rFont val="Palatino-Bold"/>
      </rPr>
      <t xml:space="preserve">B </t>
    </r>
    <r>
      <rPr>
        <sz val="9"/>
        <color rgb="FF231F20"/>
        <rFont val="Palatino-Roman"/>
      </rPr>
      <t>is correct</t>
    </r>
  </si>
  <si>
    <t>Margrave Shipping đang cân nhắc mua một chiếc tàu chở dầu mới để vận chuyển hóa chất. Tàu chở dầu sẽ có giá 30 triệu USD và có doanh thu dự báo là 12 triệu USD / năm và chi phí vận hành là 8 triệu USD. Một đợt sửa chữa lớn trị giá 3 triệu đô la sẽ được yêu cầu trong năm thứ 5 và năm thứ 10. Vào cuối năm 15, người ta dự đoán rằng tàu chở dầu sẽ được bán với giá 5 triệu đô la. Nếu tỷ lệ chiết khấu là 9 phần trăm, giá trị nào sau đây sẽ là giá trị hiện tại ròng của tàu chở dầu?</t>
  </si>
  <si>
    <t>Doanh thu</t>
  </si>
  <si>
    <t>CP</t>
  </si>
  <si>
    <t>Sửa chữa</t>
  </si>
  <si>
    <t>Giá bán</t>
  </si>
  <si>
    <t>Doòng tiền</t>
  </si>
  <si>
    <t>R=</t>
  </si>
  <si>
    <t>The break-even cash flow can be found by dividing the present value</t>
  </si>
  <si>
    <t>annuity factor for 13 per cent for 10 years into the factory cost:</t>
  </si>
  <si>
    <t>The cash flow required such that the NPV = 0, will be $2.5 million/5.42624</t>
  </si>
  <si>
    <t>Which of the following is correct? A factory costs $2.5 million. You have calculated that it will produce a cash inflow after operating costs of $560 000 a year for 10 years. Using an opportunity cost of capital of 13 per cent, you have calculated that it has a net present value of $538 696. The break-even cash flow at which the factory will have a zero net present value is:</t>
  </si>
  <si>
    <t>Điều nào sau đây là đúng? Một nhà máy có chi phí $ 2.500.000. Bạn  ước lượng rằng nó sẽ tạo ra dòng tiền vào sau chi phí hoạt động là 560 000 đô la một năm trong 10 năm. Sử dụng cơ hội chi phí vốn 13%, bạn ước lượng rằng nó có giá trị hiện tại ròng là $ 538 696. Hỏi dòng tiền hòa vốn mà tại đó nhà máy sẽ có giá trị hiện tại ròng bằng không là bao nhiêu</t>
  </si>
  <si>
    <t xml:space="preserve">Tài sản khấu hao mỗi năm 25% </t>
  </si>
  <si>
    <t>Trợ cấp thuế</t>
  </si>
  <si>
    <t>Một công ty có vốn hóa thị trường là 350 triệu bảng và nợ tồn đọng là 150 triệu bảng. Chi phí vốn cổ phần được ước tính là 12 phần trăm và đối với khoản nợ là 6 phần trăm. Hệ số beta của vốn chủ sở hữu là 1,4 và beta của khoản nợ bằng không. Phí bảo hiểm rủi ro thị trường (phần bù thị trường-the market risk premium)  là 5% và lãi suất phi rủi ro là 5%. Hỏi lợi nhuận bắt buộc không dùng đòn bẩy nợ trong doanh nghiệp (bạn có thể bỏ qua các khoản thuế trong ví dụ này)?</t>
  </si>
  <si>
    <r>
      <t>PVIFA13%</t>
    </r>
    <r>
      <rPr>
        <i/>
        <sz val="20"/>
        <color rgb="FF231F20"/>
        <rFont val="CMMI7"/>
      </rPr>
      <t>,</t>
    </r>
    <r>
      <rPr>
        <sz val="20"/>
        <color rgb="FF231F20"/>
        <rFont val="Palatino-Roman"/>
      </rPr>
      <t>10</t>
    </r>
    <r>
      <rPr>
        <i/>
        <sz val="20"/>
        <color rgb="FF231F20"/>
        <rFont val="CMMI7"/>
      </rPr>
      <t xml:space="preserve">y </t>
    </r>
    <r>
      <rPr>
        <sz val="20"/>
        <color rgb="FF231F20"/>
        <rFont val="Palatino-Roman"/>
      </rPr>
      <t>=</t>
    </r>
  </si>
  <si>
    <r>
      <t xml:space="preserve">1 </t>
    </r>
    <r>
      <rPr>
        <i/>
        <sz val="20"/>
        <color rgb="FF231F20"/>
        <rFont val="CMSY10"/>
      </rPr>
      <t xml:space="preserve">− </t>
    </r>
    <r>
      <rPr>
        <sz val="20"/>
        <color rgb="FF231F20"/>
        <rFont val="Palatino-Roman"/>
      </rPr>
      <t>1</t>
    </r>
  </si>
  <si>
    <r>
      <t>(1</t>
    </r>
    <r>
      <rPr>
        <i/>
        <sz val="20"/>
        <color rgb="FF231F20"/>
        <rFont val="CMMI7"/>
      </rPr>
      <t>.</t>
    </r>
    <r>
      <rPr>
        <sz val="20"/>
        <color rgb="FF231F20"/>
        <rFont val="Palatino-Roman"/>
      </rPr>
      <t>13)10</t>
    </r>
  </si>
  <si>
    <r>
      <t xml:space="preserve">= $460 724. So </t>
    </r>
    <r>
      <rPr>
        <b/>
        <sz val="20"/>
        <color rgb="FF231F20"/>
        <rFont val="Palatino-Bold"/>
      </rPr>
      <t xml:space="preserve">C </t>
    </r>
    <r>
      <rPr>
        <sz val="20"/>
        <color rgb="FF231F20"/>
        <rFont val="Palatino-Roman"/>
      </rPr>
      <t>is the correct answer.</t>
    </r>
  </si>
  <si>
    <t>The following information is used for questions 4.40 and 4.41</t>
  </si>
  <si>
    <t>4.41 Using the same information, which of the following is the actual cost of the
acquisition?</t>
  </si>
  <si>
    <r>
      <t xml:space="preserve">4.48 </t>
    </r>
    <r>
      <rPr>
        <sz val="12"/>
        <color rgb="FF231F20"/>
        <rFont val="Frutiger-Roman"/>
      </rPr>
      <t>An acquisition target has the following net cash flow profile (values in £ millions):</t>
    </r>
  </si>
  <si>
    <t>If the required discount rate is 13 percent, which of the following is the value of the business?</t>
  </si>
  <si>
    <t>Company X acquires company Y. Which of the following will be the gain from
the acquisition if, post acquisition, X’s share price rises to £3.75?</t>
  </si>
  <si>
    <r>
      <t xml:space="preserve">4.49 </t>
    </r>
    <r>
      <rPr>
        <sz val="8"/>
        <color rgb="FF231F20"/>
        <rFont val="Frutiger-Roman"/>
      </rPr>
      <t>The corporate tax rate is 40 percent. The firm has borrowed £120 million at</t>
    </r>
  </si>
  <si>
    <t>6.2 percent. Which of the following will be the tax shield on the debt?</t>
  </si>
  <si>
    <t>A share is trading at 245 pence in the market. The next dividend is 22 pence and the expected future growth is 4 percent. What is the market’s required rate of return on the share?</t>
  </si>
  <si>
    <t>(r-g)P = D</t>
  </si>
  <si>
    <t>r-g= D/P</t>
  </si>
  <si>
    <t>done</t>
  </si>
  <si>
    <t>Done</t>
  </si>
  <si>
    <r>
      <t xml:space="preserve">Where </t>
    </r>
    <r>
      <rPr>
        <i/>
        <sz val="10"/>
        <color rgb="FF231F20"/>
        <rFont val="CMMI10"/>
      </rPr>
      <t>V</t>
    </r>
    <r>
      <rPr>
        <sz val="7"/>
        <color rgb="FF231F20"/>
        <rFont val="Palatino-Roman"/>
      </rPr>
      <t xml:space="preserve">A </t>
    </r>
    <r>
      <rPr>
        <sz val="10"/>
        <color rgb="FF231F20"/>
        <rFont val="Palatino-Roman"/>
      </rPr>
      <t xml:space="preserve">and </t>
    </r>
    <r>
      <rPr>
        <i/>
        <sz val="10"/>
        <color rgb="FF231F20"/>
        <rFont val="CMMI10"/>
      </rPr>
      <t>V</t>
    </r>
    <r>
      <rPr>
        <sz val="7"/>
        <color rgb="FF231F20"/>
        <rFont val="Palatino-Roman"/>
      </rPr>
      <t xml:space="preserve">B </t>
    </r>
    <r>
      <rPr>
        <sz val="10"/>
        <color rgb="FF231F20"/>
        <rFont val="Palatino-Roman"/>
      </rPr>
      <t xml:space="preserve">are the values of firm A and B separately, </t>
    </r>
    <r>
      <rPr>
        <i/>
        <sz val="10"/>
        <color rgb="FF231F20"/>
        <rFont val="CMMI10"/>
      </rPr>
      <t>P</t>
    </r>
    <r>
      <rPr>
        <sz val="7"/>
        <color rgb="FF231F20"/>
        <rFont val="Palatino-Roman"/>
      </rPr>
      <t xml:space="preserve">B </t>
    </r>
    <r>
      <rPr>
        <sz val="10"/>
        <color rgb="FF231F20"/>
        <rFont val="Palatino-Roman"/>
      </rPr>
      <t>is the gain to</t>
    </r>
  </si>
  <si>
    <r>
      <t xml:space="preserve">the target’s shareholders (note, this is a cost to the bidder), and </t>
    </r>
    <r>
      <rPr>
        <i/>
        <sz val="10"/>
        <color rgb="FF231F20"/>
        <rFont val="CMMI10"/>
      </rPr>
      <t xml:space="preserve">E </t>
    </r>
    <r>
      <rPr>
        <sz val="10"/>
        <color rgb="FF231F20"/>
        <rFont val="Palatino-Roman"/>
      </rPr>
      <t>is the costs</t>
    </r>
  </si>
  <si>
    <t>and expenses associated with the acquisition, i.e. the direct and indirect costs</t>
  </si>
  <si>
    <t>of management time, advisors, and other ancillary expenses that are part of the</t>
  </si>
  <si>
    <t>transaction.</t>
  </si>
  <si>
    <r>
      <t xml:space="preserve">Margrave Shipping is considering buying a new tanker to transport chemicals. The tanker will cost $30 million and will produce forecasted revenues of $12 million per annum and operating costs are $8 million. A major refit costing $3 million will be required in </t>
    </r>
    <r>
      <rPr>
        <sz val="14"/>
        <color rgb="FFFF0000"/>
        <rFont val="Calibri"/>
        <family val="2"/>
        <scheme val="minor"/>
      </rPr>
      <t>year 5 and in year 10</t>
    </r>
    <r>
      <rPr>
        <sz val="14"/>
        <color theme="1"/>
        <rFont val="Calibri"/>
        <family val="2"/>
        <scheme val="minor"/>
      </rPr>
      <t>. At the end of 15 years, it is anticipated that the tanker will be sold for $5 million for scrap. If the discount rate is 9 per cent, which of the following will be the net present value of the tanker?</t>
    </r>
  </si>
  <si>
    <r>
      <t>X</t>
    </r>
    <r>
      <rPr>
        <i/>
        <sz val="6"/>
        <color rgb="FF231F20"/>
        <rFont val="CMMI7"/>
      </rPr>
      <t xml:space="preserve">t = </t>
    </r>
  </si>
  <si>
    <t>Discounted for 15 year cashflow of 4million</t>
  </si>
  <si>
    <t>Capital</t>
  </si>
  <si>
    <t>Year 15 for tanker sold</t>
  </si>
  <si>
    <t>Year 5 for refit costing</t>
  </si>
  <si>
    <t>Year 10 for refit costing</t>
  </si>
  <si>
    <t>PV = C/R x (1-1/(1+r)^t)</t>
  </si>
  <si>
    <t>II £11 400 per year forever</t>
  </si>
  <si>
    <t>What will be the real option value from being able to wait and see what happens to the market? (Note: use a simple one-step binomial model to analyse this question.)</t>
  </si>
  <si>
    <t>An analyst has identified a potential expansion to an existing project that at a cost of £100 million promises to deliver a present value of £200 million in one year’s time if the market improves but only a present value of £100 million if the market deteriorates. The probability that the market will improve is given as 60 percent. The one-year risk-free interest rate is 4 percent.</t>
  </si>
  <si>
    <t>P= D/(r-g)</t>
  </si>
  <si>
    <t xml:space="preserve">Firm XY -Market price </t>
  </si>
  <si>
    <t xml:space="preserve"> million shares</t>
  </si>
  <si>
    <t>A company has a project with a value of £122.6 million. Its cost is £115.4 million. The company proposes to raise the finance for the project by issuing equity. The issuing cost (fees, commissions, and other incidental expenses) are 6 percent of the total amount of equity issued. Which of the following will be the net gain from the project?</t>
  </si>
  <si>
    <t>Which option is most attractive at a 11 percent rate of interest and at 7 percent rate of interest?</t>
  </si>
  <si>
    <t>I. £200 000 at the end of 8 years</t>
  </si>
  <si>
    <t>II. £15 500 per year forever</t>
  </si>
  <si>
    <t>III. £20 000 per year for 12 years</t>
  </si>
  <si>
    <t>IV. £8000 next year and thereafter increasing at 7 percent per year forever</t>
  </si>
  <si>
    <t>A Choose I if interest rates are 11 percent and choose II if interest rates are 7 percent</t>
  </si>
  <si>
    <t>B Choose II if interest rates are 11 per cent and choose III if interest rates are 7 percent</t>
  </si>
  <si>
    <t>C Choose III if interest rates are 11 percent and choose IV if interest rates are 7 percent</t>
  </si>
  <si>
    <t>D Choose IV if interest rates are 11 per cent and choose I if interest rates are 7 percent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</si>
</sst>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0.0000%"/>
    <numFmt numFmtId="165" formatCode="0.000"/>
    <numFmt numFmtId="166" formatCode="0.000%"/>
    <numFmt numFmtId="167" formatCode="0.000000000000000%"/>
  </numFmts>
  <fonts count="74">
    <font>
      <sz val="11"/>
      <color theme="1"/>
      <name val="Calibri"/>
      <family val="2"/>
      <scheme val="minor"/>
    </font>
    <font>
      <sz val="11"/>
      <color rgb="FFFF0000"/>
      <name val="Calibri"/>
      <family val="2"/>
      <scheme val="minor"/>
    </font>
    <font>
      <sz val="8"/>
      <color rgb="FF231F20"/>
      <name val="Frutiger-Roman"/>
    </font>
    <font>
      <sz val="12"/>
      <color theme="1"/>
      <name val="Times New Roman"/>
      <family val="1"/>
    </font>
    <font>
      <sz val="12"/>
      <color rgb="FF000000"/>
      <name val="Times New Roman"/>
      <family val="1"/>
    </font>
    <font>
      <sz val="12"/>
      <color theme="1"/>
      <name val="Calibri"/>
      <family val="2"/>
      <scheme val="minor"/>
    </font>
    <font>
      <i/>
      <sz val="12"/>
      <color rgb="FF231F20"/>
      <name val="Times New Roman"/>
      <family val="1"/>
    </font>
    <font>
      <sz val="12"/>
      <color rgb="FF231F20"/>
      <name val="Times New Roman"/>
      <family val="1"/>
    </font>
    <font>
      <b/>
      <sz val="9"/>
      <color rgb="FF008084"/>
      <name val="Palatino-Bold"/>
    </font>
    <font>
      <sz val="9"/>
      <color rgb="FF231F20"/>
      <name val="Palatino-Roman"/>
    </font>
    <font>
      <i/>
      <sz val="9"/>
      <color rgb="FF231F20"/>
      <name val="CMSY10"/>
    </font>
    <font>
      <sz val="8"/>
      <color rgb="FF231F20"/>
      <name val="Palatino-Roman"/>
    </font>
    <font>
      <i/>
      <sz val="9"/>
      <color rgb="FF231F20"/>
      <name val="CMMI10"/>
    </font>
    <font>
      <b/>
      <sz val="9"/>
      <color rgb="FF231F20"/>
      <name val="Palatino-Bold"/>
    </font>
    <font>
      <sz val="12"/>
      <color rgb="FFFF0000"/>
      <name val="Times New Roman"/>
      <family val="1"/>
    </font>
    <font>
      <b/>
      <sz val="8"/>
      <color rgb="FF008084"/>
      <name val="Frutiger-Bold"/>
    </font>
    <font>
      <sz val="9"/>
      <color rgb="FF231F20"/>
      <name val="Palatino-Italic"/>
    </font>
    <font>
      <i/>
      <sz val="9"/>
      <color rgb="FF231F20"/>
      <name val="Palatino-Italic"/>
    </font>
    <font>
      <sz val="6"/>
      <color rgb="FF231F20"/>
      <name val="Palatino-Roman"/>
    </font>
    <font>
      <i/>
      <sz val="6"/>
      <color rgb="FF008084"/>
      <name val="ItcEras-Demi"/>
    </font>
    <font>
      <i/>
      <sz val="6"/>
      <color rgb="FF008084"/>
      <name val="ItcEras-Medium"/>
    </font>
    <font>
      <i/>
      <sz val="7"/>
      <color rgb="FF000000"/>
      <name val="ItcEras-Demi"/>
    </font>
    <font>
      <i/>
      <sz val="9"/>
      <color rgb="FF000000"/>
      <name val="CMMI10"/>
    </font>
    <font>
      <sz val="6"/>
      <color rgb="FF000000"/>
      <name val="Palatino-Roman"/>
    </font>
    <font>
      <sz val="8"/>
      <color rgb="FF000000"/>
      <name val="Palatino-Roman"/>
    </font>
    <font>
      <i/>
      <sz val="9"/>
      <color rgb="FF000000"/>
      <name val="CMSY10"/>
    </font>
    <font>
      <sz val="9"/>
      <color rgb="FF000000"/>
      <name val="Palatino-Roman"/>
    </font>
    <font>
      <b/>
      <sz val="9"/>
      <color rgb="FF000000"/>
      <name val="Palatino-Bold"/>
    </font>
    <font>
      <sz val="8"/>
      <color rgb="FF000000"/>
      <name val="Frutiger-Roman"/>
    </font>
    <font>
      <sz val="11"/>
      <color theme="1"/>
      <name val="Calibri"/>
      <family val="2"/>
      <scheme val="minor"/>
    </font>
    <font>
      <sz val="12"/>
      <color theme="1"/>
      <name val="Arial"/>
      <family val="2"/>
    </font>
    <font>
      <i/>
      <sz val="12"/>
      <color rgb="FF000000"/>
      <name val="Calibri"/>
      <family val="2"/>
      <scheme val="minor"/>
    </font>
    <font>
      <i/>
      <vertAlign val="subscript"/>
      <sz val="12"/>
      <color rgb="FF000000"/>
      <name val="Calibri"/>
      <family val="2"/>
      <scheme val="minor"/>
    </font>
    <font>
      <i/>
      <sz val="12"/>
      <color rgb="FFFF0000"/>
      <name val="Calibri"/>
      <family val="2"/>
      <scheme val="minor"/>
    </font>
    <font>
      <vertAlign val="superscript"/>
      <sz val="12"/>
      <color rgb="FFFF0000"/>
      <name val="Calibri"/>
      <family val="2"/>
      <scheme val="minor"/>
    </font>
    <font>
      <vertAlign val="subscript"/>
      <sz val="12"/>
      <color rgb="FFFF0000"/>
      <name val="Calibri"/>
      <family val="2"/>
      <scheme val="minor"/>
    </font>
    <font>
      <sz val="12"/>
      <color rgb="FFFF0000"/>
      <name val="Calibri"/>
      <family val="2"/>
      <scheme val="minor"/>
    </font>
    <font>
      <sz val="12"/>
      <color rgb="FF000000"/>
      <name val="Calibri"/>
      <family val="2"/>
      <scheme val="minor"/>
    </font>
    <font>
      <sz val="20"/>
      <color theme="1"/>
      <name val="Calibri"/>
      <family val="2"/>
      <scheme val="minor"/>
    </font>
    <font>
      <sz val="26"/>
      <color theme="1"/>
      <name val="Calibri"/>
      <family val="2"/>
      <scheme val="minor"/>
    </font>
    <font>
      <sz val="24"/>
      <color theme="1"/>
      <name val="Calibri"/>
      <family val="2"/>
      <scheme val="minor"/>
    </font>
    <font>
      <sz val="22"/>
      <color theme="1"/>
      <name val="Calibri"/>
      <family val="2"/>
      <scheme val="minor"/>
    </font>
    <font>
      <b/>
      <sz val="11"/>
      <color theme="1"/>
      <name val="Calibri"/>
      <family val="2"/>
      <scheme val="minor"/>
    </font>
    <font>
      <sz val="20"/>
      <color rgb="FF231F20"/>
      <name val="Frutiger-Roman"/>
    </font>
    <font>
      <i/>
      <sz val="20"/>
      <color rgb="FF231F20"/>
      <name val="Frutiger-Italic"/>
    </font>
    <font>
      <i/>
      <sz val="12"/>
      <color rgb="FF231F20"/>
      <name val="Frutiger-Italic"/>
    </font>
    <font>
      <sz val="12"/>
      <color rgb="FF231F20"/>
      <name val="Frutiger-Roman"/>
    </font>
    <font>
      <i/>
      <sz val="11"/>
      <color theme="1"/>
      <name val="Calibri"/>
      <family val="2"/>
      <scheme val="minor"/>
    </font>
    <font>
      <b/>
      <i/>
      <sz val="11"/>
      <color theme="1"/>
      <name val="Calibri"/>
      <family val="2"/>
      <scheme val="minor"/>
    </font>
    <font>
      <sz val="14"/>
      <color rgb="FF231F20"/>
      <name val="Frutiger-Roman"/>
    </font>
    <font>
      <sz val="14"/>
      <color theme="1"/>
      <name val="Calibri"/>
      <family val="2"/>
      <scheme val="minor"/>
    </font>
    <font>
      <sz val="14"/>
      <color rgb="FF231F20"/>
      <name val="Palatino-Roman"/>
    </font>
    <font>
      <i/>
      <sz val="14"/>
      <color rgb="FF231F20"/>
      <name val="Palatino-Italic"/>
    </font>
    <font>
      <b/>
      <sz val="14"/>
      <color rgb="FF231F20"/>
      <name val="Palatino-Bold"/>
    </font>
    <font>
      <sz val="14"/>
      <color rgb="FFFF0000"/>
      <name val="Calibri"/>
      <family val="2"/>
      <scheme val="minor"/>
    </font>
    <font>
      <sz val="9"/>
      <color rgb="FF231F20"/>
      <name val="CMEX10"/>
    </font>
    <font>
      <i/>
      <sz val="6"/>
      <color rgb="FF231F20"/>
      <name val="CMMI7"/>
    </font>
    <font>
      <sz val="16"/>
      <color theme="1"/>
      <name val="Calibri"/>
      <family val="2"/>
      <scheme val="minor"/>
    </font>
    <font>
      <sz val="9"/>
      <color rgb="FF000000"/>
      <name val="Helvetica"/>
    </font>
    <font>
      <sz val="20"/>
      <color rgb="FF231F20"/>
      <name val="Palatino-Roman"/>
    </font>
    <font>
      <i/>
      <sz val="20"/>
      <color rgb="FF231F20"/>
      <name val="CMMI7"/>
    </font>
    <font>
      <i/>
      <sz val="20"/>
      <color rgb="FF231F20"/>
      <name val="CMSY10"/>
    </font>
    <font>
      <b/>
      <sz val="20"/>
      <color rgb="FF231F20"/>
      <name val="Palatino-Bold"/>
    </font>
    <font>
      <sz val="9"/>
      <color rgb="FF231F20"/>
      <name val="Frutiger-Roman"/>
    </font>
    <font>
      <i/>
      <sz val="9"/>
      <color rgb="FF231F20"/>
      <name val="Frutiger-Roman"/>
    </font>
    <font>
      <i/>
      <sz val="12"/>
      <color theme="1"/>
      <name val="Times New Roman"/>
      <family val="1"/>
    </font>
    <font>
      <b/>
      <sz val="12"/>
      <color rgb="FF008084"/>
      <name val="Frutiger-Bold"/>
    </font>
    <font>
      <i/>
      <sz val="12"/>
      <color rgb="FFFF0000"/>
      <name val="Frutiger-Italic"/>
    </font>
    <font>
      <sz val="12"/>
      <color rgb="FFFF0000"/>
      <name val="Frutiger-Roman"/>
    </font>
    <font>
      <sz val="9"/>
      <color rgb="FF231F20"/>
      <name val="Frutiger-Bold"/>
    </font>
    <font>
      <sz val="18"/>
      <color theme="1"/>
      <name val="Calibri"/>
      <family val="2"/>
      <scheme val="minor"/>
    </font>
    <font>
      <sz val="10"/>
      <color rgb="FF231F20"/>
      <name val="Palatino-Roman"/>
    </font>
    <font>
      <i/>
      <sz val="10"/>
      <color rgb="FF231F20"/>
      <name val="CMMI10"/>
    </font>
    <font>
      <sz val="7"/>
      <color rgb="FF231F20"/>
      <name val="Palatino-Roman"/>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29" fillId="0" borderId="0" applyFont="0" applyFill="0" applyBorder="0" applyAlignment="0" applyProtection="0"/>
  </cellStyleXfs>
  <cellXfs count="105">
    <xf numFmtId="0" fontId="0" fillId="0" borderId="0" xfId="0"/>
    <xf numFmtId="0" fontId="2" fillId="0" borderId="0" xfId="0" applyFont="1"/>
    <xf numFmtId="0" fontId="4" fillId="0" borderId="0" xfId="0" applyFont="1" applyAlignment="1">
      <alignment horizontal="left" vertical="center" indent="4"/>
    </xf>
    <xf numFmtId="0" fontId="5" fillId="0" borderId="0" xfId="0" applyFont="1"/>
    <xf numFmtId="0" fontId="3" fillId="0" borderId="0" xfId="0" applyFont="1"/>
    <xf numFmtId="0" fontId="8" fillId="0" borderId="0" xfId="0" applyFont="1"/>
    <xf numFmtId="0" fontId="9" fillId="0" borderId="0" xfId="0" applyFont="1"/>
    <xf numFmtId="0" fontId="11" fillId="0" borderId="0" xfId="0" applyFont="1"/>
    <xf numFmtId="0" fontId="1" fillId="0" borderId="0" xfId="0" applyFont="1"/>
    <xf numFmtId="0" fontId="14" fillId="0" borderId="0" xfId="0" applyFont="1"/>
    <xf numFmtId="0" fontId="15" fillId="0" borderId="0" xfId="0" applyFont="1"/>
    <xf numFmtId="9" fontId="0" fillId="0" borderId="0" xfId="0" applyNumberFormat="1"/>
    <xf numFmtId="0" fontId="0" fillId="0" borderId="1" xfId="0" applyBorder="1"/>
    <xf numFmtId="9" fontId="1" fillId="0" borderId="0" xfId="0" applyNumberFormat="1" applyFont="1"/>
    <xf numFmtId="0" fontId="17" fillId="0" borderId="0" xfId="0" applyFont="1"/>
    <xf numFmtId="0" fontId="12" fillId="0" borderId="0" xfId="0" applyFont="1"/>
    <xf numFmtId="0" fontId="18" fillId="0" borderId="0" xfId="0" applyFont="1"/>
    <xf numFmtId="0" fontId="19" fillId="0" borderId="0" xfId="0" applyFont="1"/>
    <xf numFmtId="0" fontId="21" fillId="0" borderId="0" xfId="0" applyFont="1"/>
    <xf numFmtId="0" fontId="22" fillId="0" borderId="0" xfId="0" applyFont="1"/>
    <xf numFmtId="0" fontId="24" fillId="0" borderId="0" xfId="0" applyFont="1"/>
    <xf numFmtId="0" fontId="26" fillId="0" borderId="0" xfId="0" applyFont="1"/>
    <xf numFmtId="10" fontId="0" fillId="0" borderId="0" xfId="0" applyNumberFormat="1"/>
    <xf numFmtId="0" fontId="0" fillId="2" borderId="0" xfId="0" applyFill="1"/>
    <xf numFmtId="0" fontId="16" fillId="0" borderId="0" xfId="0" applyFont="1"/>
    <xf numFmtId="0" fontId="0" fillId="0" borderId="0" xfId="0" applyFont="1"/>
    <xf numFmtId="0" fontId="1" fillId="0" borderId="0" xfId="0" applyFont="1" applyFill="1"/>
    <xf numFmtId="0" fontId="28" fillId="0" borderId="0" xfId="0" applyFont="1"/>
    <xf numFmtId="0" fontId="13" fillId="0" borderId="0" xfId="0" applyFont="1"/>
    <xf numFmtId="0" fontId="22" fillId="2" borderId="0" xfId="0" applyFont="1" applyFill="1"/>
    <xf numFmtId="0" fontId="12" fillId="2" borderId="0" xfId="0" applyFont="1" applyFill="1"/>
    <xf numFmtId="0" fontId="9" fillId="0" borderId="1" xfId="0" applyFont="1" applyBorder="1"/>
    <xf numFmtId="0" fontId="30" fillId="0" borderId="0" xfId="0" applyFont="1" applyAlignment="1">
      <alignment horizontal="left" vertical="center" indent="2" readingOrder="1"/>
    </xf>
    <xf numFmtId="0" fontId="33" fillId="0" borderId="0" xfId="0" applyFont="1" applyAlignment="1">
      <alignment horizontal="left" vertical="center" indent="2" readingOrder="1"/>
    </xf>
    <xf numFmtId="0" fontId="37" fillId="0" borderId="0" xfId="0" applyFont="1" applyAlignment="1">
      <alignment horizontal="left" vertical="center" readingOrder="1"/>
    </xf>
    <xf numFmtId="164" fontId="1" fillId="0" borderId="0" xfId="0" applyNumberFormat="1" applyFont="1"/>
    <xf numFmtId="10" fontId="0" fillId="2" borderId="0" xfId="1" applyNumberFormat="1" applyFont="1" applyFill="1"/>
    <xf numFmtId="0" fontId="38" fillId="0" borderId="0" xfId="0" applyFont="1"/>
    <xf numFmtId="0" fontId="38" fillId="0" borderId="1" xfId="0" applyFont="1" applyBorder="1"/>
    <xf numFmtId="0" fontId="41" fillId="0" borderId="0" xfId="0" applyFont="1"/>
    <xf numFmtId="165" fontId="0" fillId="2" borderId="0" xfId="0" applyNumberFormat="1" applyFill="1"/>
    <xf numFmtId="0" fontId="41" fillId="0" borderId="0" xfId="0" applyFont="1" applyAlignment="1">
      <alignment horizontal="left" vertical="center" wrapText="1"/>
    </xf>
    <xf numFmtId="0" fontId="43" fillId="0" borderId="0" xfId="0" applyFont="1"/>
    <xf numFmtId="0" fontId="45" fillId="0" borderId="0" xfId="0" applyFont="1"/>
    <xf numFmtId="0" fontId="46" fillId="0" borderId="0" xfId="0" applyFont="1"/>
    <xf numFmtId="0" fontId="0" fillId="0" borderId="1" xfId="0" applyBorder="1" applyAlignment="1">
      <alignment horizontal="center"/>
    </xf>
    <xf numFmtId="0" fontId="5" fillId="0" borderId="1" xfId="0" applyFont="1" applyBorder="1" applyAlignment="1">
      <alignment horizontal="center"/>
    </xf>
    <xf numFmtId="0" fontId="46" fillId="3" borderId="1" xfId="0" applyFont="1" applyFill="1" applyBorder="1" applyAlignment="1">
      <alignment horizontal="center"/>
    </xf>
    <xf numFmtId="0" fontId="5" fillId="3" borderId="1" xfId="0" applyFont="1" applyFill="1" applyBorder="1" applyAlignment="1">
      <alignment horizontal="center"/>
    </xf>
    <xf numFmtId="0" fontId="47" fillId="0" borderId="0" xfId="0" applyFont="1"/>
    <xf numFmtId="2" fontId="9" fillId="0" borderId="0" xfId="0" applyNumberFormat="1" applyFont="1"/>
    <xf numFmtId="2" fontId="0" fillId="0" borderId="0" xfId="0" applyNumberFormat="1"/>
    <xf numFmtId="165" fontId="0" fillId="0" borderId="0" xfId="0" applyNumberFormat="1"/>
    <xf numFmtId="2" fontId="1" fillId="0" borderId="0" xfId="0" applyNumberFormat="1" applyFont="1"/>
    <xf numFmtId="166" fontId="0" fillId="0" borderId="0" xfId="0" applyNumberFormat="1"/>
    <xf numFmtId="166" fontId="1" fillId="0" borderId="0" xfId="0" applyNumberFormat="1" applyFont="1"/>
    <xf numFmtId="0" fontId="0" fillId="3" borderId="0" xfId="0" applyFill="1"/>
    <xf numFmtId="9" fontId="0" fillId="0" borderId="0" xfId="1" applyFont="1"/>
    <xf numFmtId="0" fontId="49" fillId="0" borderId="0" xfId="0" applyFont="1"/>
    <xf numFmtId="0" fontId="50" fillId="0" borderId="0" xfId="0" applyFont="1"/>
    <xf numFmtId="0" fontId="51" fillId="0" borderId="0" xfId="0" applyFont="1"/>
    <xf numFmtId="0" fontId="52" fillId="0" borderId="0" xfId="0" applyFont="1"/>
    <xf numFmtId="9" fontId="50" fillId="0" borderId="0" xfId="0" applyNumberFormat="1" applyFont="1"/>
    <xf numFmtId="0" fontId="54" fillId="0" borderId="0" xfId="0" applyFont="1"/>
    <xf numFmtId="0" fontId="50" fillId="0" borderId="1" xfId="0" applyFont="1" applyBorder="1"/>
    <xf numFmtId="0" fontId="55" fillId="0" borderId="0" xfId="0" applyFont="1"/>
    <xf numFmtId="6" fontId="11" fillId="0" borderId="0" xfId="0" applyNumberFormat="1" applyFont="1"/>
    <xf numFmtId="0" fontId="58" fillId="0" borderId="0" xfId="0" applyFont="1"/>
    <xf numFmtId="0" fontId="59" fillId="0" borderId="0" xfId="0" applyFont="1"/>
    <xf numFmtId="0" fontId="63" fillId="0" borderId="0" xfId="0" applyFont="1"/>
    <xf numFmtId="0" fontId="3" fillId="2" borderId="0" xfId="0" applyFont="1" applyFill="1"/>
    <xf numFmtId="0" fontId="6" fillId="2" borderId="0" xfId="0" applyFont="1" applyFill="1"/>
    <xf numFmtId="0" fontId="7" fillId="2" borderId="0" xfId="0" applyFont="1" applyFill="1"/>
    <xf numFmtId="0" fontId="65" fillId="0" borderId="0" xfId="0" applyFont="1"/>
    <xf numFmtId="0" fontId="66" fillId="0" borderId="0" xfId="0" applyFont="1"/>
    <xf numFmtId="0" fontId="45" fillId="2" borderId="1" xfId="0" applyFont="1" applyFill="1" applyBorder="1"/>
    <xf numFmtId="0" fontId="5" fillId="2" borderId="1" xfId="0" applyFont="1" applyFill="1" applyBorder="1"/>
    <xf numFmtId="0" fontId="67" fillId="2" borderId="1" xfId="0" applyFont="1" applyFill="1" applyBorder="1"/>
    <xf numFmtId="0" fontId="68" fillId="2" borderId="1" xfId="0" applyFont="1" applyFill="1" applyBorder="1"/>
    <xf numFmtId="0" fontId="36" fillId="2" borderId="1" xfId="0" applyFont="1" applyFill="1" applyBorder="1"/>
    <xf numFmtId="0" fontId="69" fillId="0" borderId="0" xfId="0" applyFont="1"/>
    <xf numFmtId="0" fontId="0" fillId="0" borderId="0" xfId="0" applyFill="1"/>
    <xf numFmtId="0" fontId="71" fillId="0" borderId="0" xfId="0" applyFont="1"/>
    <xf numFmtId="167" fontId="0" fillId="0" borderId="0" xfId="0" applyNumberFormat="1"/>
    <xf numFmtId="0" fontId="0" fillId="4" borderId="0" xfId="0" applyFill="1"/>
    <xf numFmtId="0" fontId="50" fillId="0" borderId="0" xfId="0" applyFont="1" applyAlignment="1">
      <alignment horizontal="left"/>
    </xf>
    <xf numFmtId="0" fontId="57" fillId="0" borderId="0" xfId="0" applyFont="1" applyAlignment="1"/>
    <xf numFmtId="0" fontId="64" fillId="0" borderId="0" xfId="0" applyFont="1" applyAlignment="1">
      <alignment horizontal="left" wrapText="1"/>
    </xf>
    <xf numFmtId="0" fontId="3" fillId="0" borderId="0" xfId="0" applyFont="1" applyAlignment="1">
      <alignment horizontal="left" wrapText="1"/>
    </xf>
    <xf numFmtId="0" fontId="64" fillId="0" borderId="0" xfId="0" applyFont="1" applyAlignment="1">
      <alignment horizontal="left" wrapText="1"/>
    </xf>
    <xf numFmtId="0" fontId="0" fillId="0" borderId="0" xfId="0" applyAlignment="1">
      <alignment horizontal="left"/>
    </xf>
    <xf numFmtId="0" fontId="0" fillId="0" borderId="0" xfId="0" applyAlignment="1">
      <alignment wrapText="1"/>
    </xf>
    <xf numFmtId="0" fontId="0" fillId="0" borderId="0" xfId="0" applyAlignment="1">
      <alignment horizontal="left" wrapText="1"/>
    </xf>
    <xf numFmtId="0" fontId="45" fillId="0" borderId="2" xfId="0" applyFont="1" applyBorder="1" applyAlignment="1">
      <alignment horizontal="center"/>
    </xf>
    <xf numFmtId="0" fontId="41" fillId="0" borderId="0" xfId="0" applyFont="1" applyAlignment="1">
      <alignment horizontal="left" vertical="center" wrapText="1"/>
    </xf>
    <xf numFmtId="0" fontId="70" fillId="0" borderId="0" xfId="0" applyFont="1" applyAlignment="1">
      <alignment horizontal="left" vertical="center" wrapText="1"/>
    </xf>
    <xf numFmtId="0" fontId="38" fillId="0" borderId="0" xfId="0" applyFont="1" applyAlignment="1">
      <alignment horizontal="left" vertical="center" wrapText="1"/>
    </xf>
    <xf numFmtId="0" fontId="57" fillId="0" borderId="0" xfId="0" applyFont="1" applyAlignment="1">
      <alignment wrapText="1"/>
    </xf>
    <xf numFmtId="0" fontId="50" fillId="0" borderId="0" xfId="0" applyFont="1" applyAlignment="1">
      <alignment horizontal="center" wrapText="1"/>
    </xf>
    <xf numFmtId="0" fontId="0" fillId="0" borderId="0" xfId="0" applyAlignment="1">
      <alignment horizontal="center" wrapText="1"/>
    </xf>
    <xf numFmtId="0" fontId="50" fillId="0" borderId="0" xfId="0" applyFont="1" applyAlignment="1">
      <alignment horizontal="left" wrapText="1"/>
    </xf>
    <xf numFmtId="0" fontId="57" fillId="0" borderId="0" xfId="0" applyFont="1" applyAlignment="1">
      <alignment horizontal="left" wrapText="1"/>
    </xf>
    <xf numFmtId="0" fontId="57" fillId="0" borderId="0" xfId="0" applyFont="1" applyAlignment="1">
      <alignment horizontal="left" vertical="center" wrapText="1"/>
    </xf>
    <xf numFmtId="0" fontId="40" fillId="0" borderId="0" xfId="0" applyFont="1" applyAlignment="1">
      <alignment horizontal="center" vertical="center" wrapText="1"/>
    </xf>
    <xf numFmtId="0" fontId="39" fillId="0" borderId="0" xfId="0" applyFont="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26</xdr:row>
      <xdr:rowOff>152400</xdr:rowOff>
    </xdr:from>
    <xdr:to>
      <xdr:col>7</xdr:col>
      <xdr:colOff>9526</xdr:colOff>
      <xdr:row>32</xdr:row>
      <xdr:rowOff>38100</xdr:rowOff>
    </xdr:to>
    <xdr:pic>
      <xdr:nvPicPr>
        <xdr:cNvPr id="2" name="Picture 1"/>
        <xdr:cNvPicPr>
          <a:picLocks noChangeAspect="1"/>
        </xdr:cNvPicPr>
      </xdr:nvPicPr>
      <xdr:blipFill rotWithShape="1">
        <a:blip xmlns:r="http://schemas.openxmlformats.org/officeDocument/2006/relationships" r:embed="rId1"/>
        <a:srcRect l="35803" t="30343" r="23636" b="55593"/>
        <a:stretch/>
      </xdr:blipFill>
      <xdr:spPr>
        <a:xfrm>
          <a:off x="238125" y="6467475"/>
          <a:ext cx="5276851"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333375</xdr:colOff>
      <xdr:row>12</xdr:row>
      <xdr:rowOff>152400</xdr:rowOff>
    </xdr:from>
    <xdr:ext cx="2533650" cy="438453"/>
    <mc:AlternateContent xmlns:mc="http://schemas.openxmlformats.org/markup-compatibility/2006" xmlns:a14="http://schemas.microsoft.com/office/drawing/2010/main">
      <mc:Choice Requires="a14">
        <xdr:sp macro="" textlink="">
          <xdr:nvSpPr>
            <xdr:cNvPr id="2" name="TextBox 1"/>
            <xdr:cNvSpPr txBox="1"/>
          </xdr:nvSpPr>
          <xdr:spPr>
            <a:xfrm>
              <a:off x="4181475" y="4876800"/>
              <a:ext cx="2533650" cy="4384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panose="02040503050406030204" pitchFamily="18" charset="0"/>
                          </a:rPr>
                        </m:ctrlPr>
                      </m:fPr>
                      <m:num>
                        <m:r>
                          <a:rPr lang="en-US" sz="1100" b="0" i="1">
                            <a:latin typeface="Cambria Math"/>
                          </a:rPr>
                          <m:t> </m:t>
                        </m:r>
                        <m:r>
                          <a:rPr lang="en-US" sz="1100" b="0" i="1">
                            <a:latin typeface="Cambria Math"/>
                          </a:rPr>
                          <m:t>𝑃𝑉</m:t>
                        </m:r>
                        <m:r>
                          <a:rPr lang="en-US" sz="1100" b="0" i="1">
                            <a:latin typeface="Cambria Math"/>
                          </a:rPr>
                          <m:t>∗(−1+</m:t>
                        </m:r>
                        <m:sSup>
                          <m:sSupPr>
                            <m:ctrlPr>
                              <a:rPr lang="en-US" sz="1100" b="0" i="1">
                                <a:latin typeface="Cambria Math" panose="02040503050406030204" pitchFamily="18" charset="0"/>
                              </a:rPr>
                            </m:ctrlPr>
                          </m:sSupPr>
                          <m:e>
                            <m:d>
                              <m:dPr>
                                <m:ctrlPr>
                                  <a:rPr lang="en-US" sz="1100" b="0" i="1">
                                    <a:latin typeface="Cambria Math" panose="02040503050406030204" pitchFamily="18" charset="0"/>
                                  </a:rPr>
                                </m:ctrlPr>
                              </m:dPr>
                              <m:e>
                                <m:r>
                                  <a:rPr lang="en-US" sz="1100" b="0" i="1">
                                    <a:latin typeface="Cambria Math"/>
                                  </a:rPr>
                                  <m:t>1+</m:t>
                                </m:r>
                                <m:r>
                                  <a:rPr lang="en-US" sz="1100" b="0" i="1">
                                    <a:latin typeface="Cambria Math"/>
                                  </a:rPr>
                                  <m:t>𝑟</m:t>
                                </m:r>
                              </m:e>
                            </m:d>
                          </m:e>
                          <m:sup>
                            <m:r>
                              <a:rPr lang="en-US" sz="1100" b="0" i="1">
                                <a:latin typeface="Cambria Math"/>
                              </a:rPr>
                              <m:t>𝑡</m:t>
                            </m:r>
                          </m:sup>
                        </m:sSup>
                        <m:r>
                          <a:rPr lang="en-US" sz="1100" b="0" i="1">
                            <a:latin typeface="Cambria Math"/>
                          </a:rPr>
                          <m:t>)</m:t>
                        </m:r>
                      </m:num>
                      <m:den>
                        <m:r>
                          <a:rPr lang="en-US" sz="1100" b="0" i="1">
                            <a:latin typeface="Cambria Math"/>
                          </a:rPr>
                          <m:t>𝑟</m:t>
                        </m:r>
                      </m:den>
                    </m:f>
                  </m:oMath>
                </m:oMathPara>
              </a14:m>
              <a:endParaRPr lang="en-US" sz="1100"/>
            </a:p>
          </xdr:txBody>
        </xdr:sp>
      </mc:Choice>
      <mc:Fallback xmlns="">
        <xdr:sp macro="" textlink="">
          <xdr:nvSpPr>
            <xdr:cNvPr id="2" name="TextBox 1"/>
            <xdr:cNvSpPr txBox="1"/>
          </xdr:nvSpPr>
          <xdr:spPr>
            <a:xfrm>
              <a:off x="4181475" y="4876800"/>
              <a:ext cx="2533650" cy="4384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i="0">
                  <a:latin typeface="Cambria Math" panose="02040503050406030204" pitchFamily="18" charset="0"/>
                </a:rPr>
                <a:t>(</a:t>
              </a:r>
              <a:r>
                <a:rPr lang="en-US" sz="1100" b="0" i="0">
                  <a:latin typeface="Cambria Math"/>
                </a:rPr>
                <a:t> 𝑃𝑉∗(−1+</a:t>
              </a:r>
              <a:r>
                <a:rPr lang="en-US" sz="1100" b="0" i="0">
                  <a:latin typeface="Cambria Math" panose="02040503050406030204" pitchFamily="18" charset="0"/>
                </a:rPr>
                <a:t>(</a:t>
              </a:r>
              <a:r>
                <a:rPr lang="en-US" sz="1100" b="0" i="0">
                  <a:latin typeface="Cambria Math"/>
                </a:rPr>
                <a:t>1+𝑟</a:t>
              </a:r>
              <a:r>
                <a:rPr lang="en-US" sz="1100" b="0" i="0">
                  <a:latin typeface="Cambria Math" panose="02040503050406030204" pitchFamily="18" charset="0"/>
                </a:rPr>
                <a:t>)^</a:t>
              </a:r>
              <a:r>
                <a:rPr lang="en-US" sz="1100" b="0" i="0">
                  <a:latin typeface="Cambria Math"/>
                </a:rPr>
                <a:t>𝑡)</a:t>
              </a:r>
              <a:r>
                <a:rPr lang="en-US" sz="1100" b="0" i="0">
                  <a:latin typeface="Cambria Math" panose="02040503050406030204" pitchFamily="18" charset="0"/>
                </a:rPr>
                <a:t>)/</a:t>
              </a:r>
              <a:r>
                <a:rPr lang="en-US" sz="1100" b="0" i="0">
                  <a:latin typeface="Cambria Math"/>
                </a:rPr>
                <a:t>𝑟</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7"/>
  <sheetViews>
    <sheetView topLeftCell="A23" zoomScale="170" zoomScaleNormal="170" workbookViewId="0">
      <selection activeCell="B17" sqref="B17:G17"/>
    </sheetView>
  </sheetViews>
  <sheetFormatPr defaultRowHeight="14.5"/>
  <cols>
    <col min="1" max="1" width="7.81640625" customWidth="1"/>
    <col min="2" max="2" width="24.26953125" customWidth="1"/>
    <col min="3" max="3" width="8.54296875" customWidth="1"/>
    <col min="7" max="7" width="22" customWidth="1"/>
  </cols>
  <sheetData>
    <row r="1" spans="2:9" ht="15.5">
      <c r="C1" s="3"/>
      <c r="D1" s="3"/>
      <c r="E1" s="3"/>
      <c r="G1" t="s">
        <v>379</v>
      </c>
    </row>
    <row r="2" spans="2:9" ht="15.5">
      <c r="B2" s="2" t="s">
        <v>5</v>
      </c>
      <c r="C2" s="4"/>
      <c r="D2" s="4"/>
      <c r="E2" s="4"/>
      <c r="F2" s="4"/>
      <c r="G2" s="4"/>
      <c r="H2" s="4"/>
      <c r="I2" s="4"/>
    </row>
    <row r="3" spans="2:9" ht="15.5">
      <c r="B3" s="70"/>
      <c r="C3" s="71" t="s">
        <v>0</v>
      </c>
      <c r="D3" s="70" t="s">
        <v>1</v>
      </c>
      <c r="E3" s="70" t="s">
        <v>22</v>
      </c>
      <c r="F3" s="4"/>
      <c r="G3" s="4"/>
      <c r="H3" s="4"/>
      <c r="I3" s="4"/>
    </row>
    <row r="4" spans="2:9" ht="15.5">
      <c r="B4" s="72" t="s">
        <v>2</v>
      </c>
      <c r="C4" s="70">
        <v>3.5</v>
      </c>
      <c r="D4" s="70">
        <v>2.75</v>
      </c>
      <c r="E4" s="70" t="s">
        <v>21</v>
      </c>
      <c r="F4" s="4"/>
      <c r="G4" s="28" t="s">
        <v>135</v>
      </c>
      <c r="H4" s="4"/>
      <c r="I4" s="82" t="s">
        <v>381</v>
      </c>
    </row>
    <row r="5" spans="2:9" ht="15.5">
      <c r="B5" s="72" t="s">
        <v>3</v>
      </c>
      <c r="C5" s="70">
        <v>20</v>
      </c>
      <c r="D5" s="70">
        <v>4</v>
      </c>
      <c r="E5" s="70" t="s">
        <v>20</v>
      </c>
      <c r="F5" s="4"/>
      <c r="G5" s="7" t="s">
        <v>134</v>
      </c>
      <c r="H5" s="4"/>
      <c r="I5" s="82" t="s">
        <v>382</v>
      </c>
    </row>
    <row r="6" spans="2:9" ht="15.5">
      <c r="B6" s="72" t="s">
        <v>4</v>
      </c>
      <c r="C6" s="70">
        <f>C4*C5</f>
        <v>70</v>
      </c>
      <c r="D6" s="70">
        <f>D4*D5</f>
        <v>11</v>
      </c>
      <c r="E6" s="70" t="s">
        <v>19</v>
      </c>
      <c r="F6" s="4"/>
      <c r="G6" s="7" t="s">
        <v>136</v>
      </c>
      <c r="H6" s="4"/>
      <c r="I6" s="82" t="s">
        <v>383</v>
      </c>
    </row>
    <row r="7" spans="2:9" ht="15.5">
      <c r="B7" s="4" t="s">
        <v>398</v>
      </c>
      <c r="C7" s="4">
        <v>3.75</v>
      </c>
      <c r="D7" s="4"/>
      <c r="E7" s="4"/>
      <c r="F7" s="4"/>
      <c r="G7" s="7" t="s">
        <v>137</v>
      </c>
      <c r="H7" s="4"/>
      <c r="I7" s="82" t="s">
        <v>384</v>
      </c>
    </row>
    <row r="8" spans="2:9" ht="42.75" customHeight="1">
      <c r="B8" s="88" t="s">
        <v>7</v>
      </c>
      <c r="C8" s="88"/>
      <c r="D8" s="88"/>
      <c r="E8" s="88"/>
      <c r="F8" s="88"/>
      <c r="G8" s="88"/>
      <c r="H8" s="4"/>
      <c r="I8" s="82" t="s">
        <v>385</v>
      </c>
    </row>
    <row r="9" spans="2:9" ht="15.5">
      <c r="B9" s="4" t="s">
        <v>18</v>
      </c>
      <c r="C9" s="4">
        <v>3.75</v>
      </c>
      <c r="D9" s="4"/>
      <c r="E9" s="4"/>
      <c r="F9" s="4"/>
      <c r="G9" s="4"/>
      <c r="H9" s="4"/>
      <c r="I9" s="4"/>
    </row>
    <row r="10" spans="2:9" ht="15.5">
      <c r="B10" s="4" t="s">
        <v>6</v>
      </c>
      <c r="C10" s="4"/>
      <c r="D10" s="4"/>
      <c r="E10" s="4"/>
      <c r="F10" s="4"/>
      <c r="G10" s="4"/>
      <c r="H10" s="4"/>
      <c r="I10" s="4"/>
    </row>
    <row r="11" spans="2:9" ht="15.5">
      <c r="B11" s="4"/>
      <c r="C11" s="4"/>
      <c r="D11" s="4"/>
      <c r="E11" s="4"/>
      <c r="F11" s="4"/>
      <c r="G11" s="4"/>
      <c r="H11" s="4"/>
      <c r="I11" s="4"/>
    </row>
    <row r="12" spans="2:9" ht="15.5">
      <c r="B12" s="80" t="s">
        <v>369</v>
      </c>
      <c r="C12" s="4"/>
      <c r="D12" s="4"/>
      <c r="E12" s="4"/>
      <c r="F12" s="4"/>
      <c r="G12" s="4"/>
      <c r="H12" s="4"/>
      <c r="I12" s="4"/>
    </row>
    <row r="13" spans="2:9" ht="15.5">
      <c r="B13" s="70"/>
      <c r="C13" s="71" t="s">
        <v>0</v>
      </c>
      <c r="D13" s="70" t="s">
        <v>1</v>
      </c>
      <c r="E13" s="70" t="s">
        <v>22</v>
      </c>
      <c r="F13" s="4"/>
      <c r="G13" s="4"/>
      <c r="H13" s="4"/>
      <c r="I13" s="4"/>
    </row>
    <row r="14" spans="2:9" ht="15.5">
      <c r="B14" s="72" t="s">
        <v>2</v>
      </c>
      <c r="C14" s="70">
        <v>3.5</v>
      </c>
      <c r="D14" s="70">
        <v>2.75</v>
      </c>
      <c r="E14" s="70" t="s">
        <v>21</v>
      </c>
      <c r="F14" s="4"/>
      <c r="G14" s="4"/>
      <c r="H14" s="4"/>
      <c r="I14" s="4"/>
    </row>
    <row r="15" spans="2:9" ht="15.5">
      <c r="B15" s="72" t="s">
        <v>3</v>
      </c>
      <c r="C15" s="70">
        <v>20</v>
      </c>
      <c r="D15" s="70">
        <v>4</v>
      </c>
      <c r="E15" s="70" t="s">
        <v>399</v>
      </c>
      <c r="F15" s="4"/>
      <c r="G15" s="4"/>
      <c r="H15" s="4"/>
      <c r="I15" s="4"/>
    </row>
    <row r="16" spans="2:9" ht="15.5">
      <c r="B16" s="72" t="s">
        <v>4</v>
      </c>
      <c r="C16" s="70">
        <v>70</v>
      </c>
      <c r="D16" s="70">
        <v>11</v>
      </c>
      <c r="E16" s="70" t="s">
        <v>399</v>
      </c>
      <c r="F16" s="73"/>
      <c r="G16" s="73"/>
      <c r="H16" s="4"/>
      <c r="I16" s="4"/>
    </row>
    <row r="17" spans="2:11" ht="32" customHeight="1">
      <c r="B17" s="89" t="s">
        <v>373</v>
      </c>
      <c r="C17" s="89"/>
      <c r="D17" s="89"/>
      <c r="E17" s="89"/>
      <c r="F17" s="89"/>
      <c r="G17" s="89"/>
      <c r="K17" s="7" t="s">
        <v>138</v>
      </c>
    </row>
    <row r="18" spans="2:11" ht="14" customHeight="1">
      <c r="B18" s="87" t="s">
        <v>370</v>
      </c>
      <c r="C18" s="49"/>
      <c r="D18" s="49"/>
      <c r="E18" s="49"/>
      <c r="F18" s="49"/>
      <c r="G18" s="49"/>
      <c r="K18" s="7"/>
    </row>
    <row r="19" spans="2:11" ht="14" customHeight="1">
      <c r="B19" s="69"/>
      <c r="K19" s="7"/>
    </row>
    <row r="20" spans="2:11" ht="60.75" customHeight="1"/>
    <row r="21" spans="2:11" ht="15.5">
      <c r="B21" s="5" t="s">
        <v>8</v>
      </c>
      <c r="G21" t="s">
        <v>25</v>
      </c>
      <c r="H21">
        <f>(C5+D5)*C9</f>
        <v>90</v>
      </c>
      <c r="I21" s="4" t="s">
        <v>20</v>
      </c>
    </row>
    <row r="22" spans="2:11" ht="15.5">
      <c r="B22" s="6" t="s">
        <v>9</v>
      </c>
      <c r="G22" s="8" t="s">
        <v>17</v>
      </c>
      <c r="H22" s="8">
        <f>H21-(C6+D6)</f>
        <v>9</v>
      </c>
      <c r="I22" s="9" t="s">
        <v>20</v>
      </c>
    </row>
    <row r="23" spans="2:11">
      <c r="B23" s="6" t="s">
        <v>10</v>
      </c>
    </row>
    <row r="24" spans="2:11">
      <c r="B24" s="6" t="s">
        <v>11</v>
      </c>
    </row>
    <row r="25" spans="2:11">
      <c r="B25" s="7" t="s">
        <v>12</v>
      </c>
    </row>
    <row r="27" spans="2:11">
      <c r="B27" s="6" t="s">
        <v>23</v>
      </c>
    </row>
    <row r="28" spans="2:11" ht="15.5">
      <c r="B28" s="7" t="s">
        <v>13</v>
      </c>
      <c r="G28" t="s">
        <v>26</v>
      </c>
      <c r="H28">
        <f>C9*D5</f>
        <v>15</v>
      </c>
      <c r="I28" s="4" t="s">
        <v>20</v>
      </c>
    </row>
    <row r="29" spans="2:11" ht="15.5">
      <c r="B29" s="6" t="s">
        <v>14</v>
      </c>
      <c r="G29" t="s">
        <v>27</v>
      </c>
      <c r="H29">
        <f>D6</f>
        <v>11</v>
      </c>
      <c r="I29" s="4" t="s">
        <v>20</v>
      </c>
    </row>
    <row r="30" spans="2:11" ht="15.5">
      <c r="B30" s="6" t="s">
        <v>15</v>
      </c>
      <c r="G30" s="8" t="s">
        <v>24</v>
      </c>
      <c r="H30" s="8">
        <f>H28-H29</f>
        <v>4</v>
      </c>
      <c r="I30" s="9" t="s">
        <v>20</v>
      </c>
    </row>
    <row r="31" spans="2:11">
      <c r="B31" s="6" t="s">
        <v>16</v>
      </c>
    </row>
    <row r="33" spans="2:8">
      <c r="B33" t="s">
        <v>171</v>
      </c>
      <c r="G33" s="8" t="s">
        <v>24</v>
      </c>
      <c r="H33" s="8">
        <f>(C9-D4)*D5</f>
        <v>4</v>
      </c>
    </row>
    <row r="34" spans="2:8">
      <c r="B34" t="s">
        <v>170</v>
      </c>
      <c r="C34">
        <f>C4*C5</f>
        <v>70</v>
      </c>
    </row>
    <row r="35" spans="2:8">
      <c r="B35" t="s">
        <v>172</v>
      </c>
      <c r="C35">
        <f>D4*D5</f>
        <v>11</v>
      </c>
    </row>
    <row r="36" spans="2:8">
      <c r="B36" t="s">
        <v>173</v>
      </c>
      <c r="C36">
        <f>C9*(C5+D5)</f>
        <v>90</v>
      </c>
    </row>
    <row r="37" spans="2:8">
      <c r="B37" s="8" t="s">
        <v>17</v>
      </c>
      <c r="C37" s="8">
        <f>C36-C34-C35</f>
        <v>9</v>
      </c>
    </row>
  </sheetData>
  <mergeCells count="2">
    <mergeCell ref="B8:G8"/>
    <mergeCell ref="B17:G1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5" workbookViewId="0">
      <selection activeCell="I7" sqref="I7"/>
    </sheetView>
  </sheetViews>
  <sheetFormatPr defaultRowHeight="14.5"/>
  <cols>
    <col min="1" max="1" width="14.26953125" customWidth="1"/>
    <col min="3" max="3" width="22.54296875" bestFit="1" customWidth="1"/>
  </cols>
  <sheetData>
    <row r="1" spans="1:10" ht="102" customHeight="1">
      <c r="A1" s="97" t="s">
        <v>286</v>
      </c>
      <c r="B1" s="97"/>
      <c r="C1" s="97"/>
      <c r="D1" s="97"/>
      <c r="E1" s="97"/>
      <c r="F1" s="97"/>
      <c r="G1" s="97"/>
      <c r="H1" s="97"/>
      <c r="I1" s="97"/>
      <c r="J1" s="97"/>
    </row>
    <row r="2" spans="1:10" ht="21">
      <c r="A2" s="86"/>
      <c r="B2" s="86"/>
      <c r="C2" s="86"/>
      <c r="D2" s="86"/>
      <c r="E2" s="86"/>
      <c r="F2" s="86"/>
      <c r="G2" s="86"/>
      <c r="H2" s="86"/>
      <c r="I2" s="86"/>
      <c r="J2" s="86"/>
    </row>
    <row r="3" spans="1:10" ht="66.75" customHeight="1">
      <c r="A3" s="97" t="s">
        <v>287</v>
      </c>
      <c r="B3" s="97"/>
      <c r="C3" s="97"/>
      <c r="D3" s="97"/>
      <c r="E3" s="97"/>
      <c r="F3" s="97"/>
      <c r="G3" s="97"/>
      <c r="H3" s="97"/>
      <c r="I3" s="97"/>
      <c r="J3" s="97"/>
    </row>
    <row r="5" spans="1:10">
      <c r="A5" t="s">
        <v>193</v>
      </c>
      <c r="B5">
        <v>75</v>
      </c>
    </row>
    <row r="6" spans="1:10">
      <c r="A6" t="s">
        <v>191</v>
      </c>
      <c r="B6">
        <v>35</v>
      </c>
    </row>
    <row r="7" spans="1:10">
      <c r="A7" t="s">
        <v>267</v>
      </c>
      <c r="B7" s="11">
        <v>0.4</v>
      </c>
    </row>
    <row r="8" spans="1:10">
      <c r="A8" t="s">
        <v>288</v>
      </c>
      <c r="B8" s="22">
        <v>0.14799999999999999</v>
      </c>
    </row>
    <row r="9" spans="1:10">
      <c r="A9" t="s">
        <v>289</v>
      </c>
      <c r="B9" s="22">
        <v>8.5000000000000006E-2</v>
      </c>
    </row>
    <row r="10" spans="1:10">
      <c r="A10" t="s">
        <v>290</v>
      </c>
    </row>
    <row r="35" spans="2:3">
      <c r="B35" t="s">
        <v>296</v>
      </c>
      <c r="C35">
        <f>B5+B6</f>
        <v>110</v>
      </c>
    </row>
    <row r="36" spans="2:3">
      <c r="B36" t="s">
        <v>158</v>
      </c>
      <c r="C36" s="55">
        <f>B5/C35*B8+B9*(1-B7)*B6/C35</f>
        <v>0.11713636363636362</v>
      </c>
    </row>
  </sheetData>
  <mergeCells count="2">
    <mergeCell ref="A1:J1"/>
    <mergeCell ref="A3:J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opLeftCell="A8" workbookViewId="0">
      <selection activeCell="C6" sqref="C6"/>
    </sheetView>
  </sheetViews>
  <sheetFormatPr defaultRowHeight="14.5"/>
  <cols>
    <col min="1" max="1" width="21.453125" customWidth="1"/>
    <col min="10" max="10" width="14" customWidth="1"/>
  </cols>
  <sheetData>
    <row r="1" spans="1:10" ht="115.5" customHeight="1">
      <c r="A1" s="98" t="s">
        <v>291</v>
      </c>
      <c r="B1" s="98"/>
      <c r="C1" s="98"/>
      <c r="D1" s="98"/>
      <c r="E1" s="98"/>
      <c r="F1" s="98"/>
      <c r="G1" s="98"/>
      <c r="H1" s="98"/>
      <c r="I1" s="98"/>
      <c r="J1" s="98"/>
    </row>
    <row r="2" spans="1:10" ht="18.5">
      <c r="A2" s="59"/>
      <c r="B2" s="59"/>
      <c r="C2" s="59"/>
      <c r="D2" s="59"/>
      <c r="E2" s="59"/>
      <c r="F2" s="59"/>
      <c r="G2" s="59"/>
      <c r="H2" s="59"/>
      <c r="I2" s="59"/>
      <c r="J2" s="59"/>
    </row>
    <row r="3" spans="1:10" ht="113.25" customHeight="1">
      <c r="A3" s="98" t="s">
        <v>364</v>
      </c>
      <c r="B3" s="98"/>
      <c r="C3" s="98"/>
      <c r="D3" s="98"/>
      <c r="E3" s="98"/>
      <c r="F3" s="98"/>
      <c r="G3" s="98"/>
      <c r="H3" s="98"/>
      <c r="I3" s="98"/>
      <c r="J3" s="98"/>
    </row>
    <row r="5" spans="1:10">
      <c r="A5" t="s">
        <v>193</v>
      </c>
      <c r="B5">
        <v>350</v>
      </c>
    </row>
    <row r="6" spans="1:10">
      <c r="A6" t="s">
        <v>191</v>
      </c>
      <c r="B6">
        <v>150</v>
      </c>
    </row>
    <row r="7" spans="1:10">
      <c r="A7" t="s">
        <v>292</v>
      </c>
      <c r="B7" s="11">
        <v>0.12</v>
      </c>
      <c r="D7" t="s">
        <v>297</v>
      </c>
    </row>
    <row r="8" spans="1:10">
      <c r="A8" t="s">
        <v>289</v>
      </c>
      <c r="B8" s="11">
        <v>0.06</v>
      </c>
      <c r="D8" t="s">
        <v>298</v>
      </c>
    </row>
    <row r="9" spans="1:10">
      <c r="A9" s="23" t="s">
        <v>293</v>
      </c>
      <c r="B9" s="23">
        <v>1.4</v>
      </c>
    </row>
    <row r="10" spans="1:10">
      <c r="A10" s="23" t="s">
        <v>294</v>
      </c>
      <c r="B10" s="23">
        <v>0</v>
      </c>
    </row>
    <row r="11" spans="1:10">
      <c r="A11" t="s">
        <v>299</v>
      </c>
      <c r="B11" s="11">
        <v>0.05</v>
      </c>
      <c r="D11" t="s">
        <v>301</v>
      </c>
      <c r="G11" t="s">
        <v>90</v>
      </c>
      <c r="I11" t="s">
        <v>305</v>
      </c>
    </row>
    <row r="12" spans="1:10">
      <c r="A12" t="s">
        <v>295</v>
      </c>
      <c r="B12" s="11">
        <v>0.05</v>
      </c>
      <c r="D12" t="s">
        <v>300</v>
      </c>
      <c r="G12" t="str">
        <f>D11</f>
        <v>rM-rf</v>
      </c>
      <c r="H12" t="s">
        <v>307</v>
      </c>
    </row>
    <row r="13" spans="1:10">
      <c r="A13" t="s">
        <v>288</v>
      </c>
      <c r="B13" s="56"/>
      <c r="G13" t="s">
        <v>306</v>
      </c>
    </row>
    <row r="14" spans="1:10">
      <c r="H14" s="54"/>
    </row>
    <row r="29" spans="1:1">
      <c r="A29" s="6"/>
    </row>
    <row r="30" spans="1:1">
      <c r="A30" s="6"/>
    </row>
    <row r="31" spans="1:1">
      <c r="A31" s="6"/>
    </row>
    <row r="33" spans="1:11">
      <c r="A33" s="15"/>
      <c r="B33" s="7"/>
      <c r="C33" s="7"/>
    </row>
    <row r="34" spans="1:11">
      <c r="B34" s="7"/>
    </row>
    <row r="37" spans="1:11">
      <c r="G37" s="67"/>
    </row>
    <row r="38" spans="1:11">
      <c r="K38" s="22"/>
    </row>
    <row r="39" spans="1:11">
      <c r="I39" s="11"/>
    </row>
    <row r="41" spans="1:11">
      <c r="I41" s="11"/>
    </row>
    <row r="43" spans="1:11">
      <c r="J43" s="52"/>
    </row>
    <row r="45" spans="1:11">
      <c r="H45" s="22"/>
    </row>
    <row r="48" spans="1:11">
      <c r="H48" s="11"/>
      <c r="K48" s="22"/>
    </row>
  </sheetData>
  <mergeCells count="2">
    <mergeCell ref="A1:J1"/>
    <mergeCell ref="A3:J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F41" sqref="F41"/>
    </sheetView>
  </sheetViews>
  <sheetFormatPr defaultRowHeight="14.5"/>
  <cols>
    <col min="1" max="1" width="11.7265625" customWidth="1"/>
    <col min="5" max="5" width="11.81640625" customWidth="1"/>
  </cols>
  <sheetData>
    <row r="1" spans="1:12" ht="69" customHeight="1">
      <c r="A1" s="99" t="s">
        <v>400</v>
      </c>
      <c r="B1" s="99"/>
      <c r="C1" s="99"/>
      <c r="D1" s="99"/>
      <c r="E1" s="99"/>
      <c r="F1" s="99"/>
      <c r="G1" s="99"/>
      <c r="H1" s="99"/>
      <c r="I1" s="99"/>
      <c r="J1" s="99"/>
      <c r="L1" t="s">
        <v>380</v>
      </c>
    </row>
    <row r="2" spans="1:12" ht="52.5" customHeight="1">
      <c r="A2" s="99" t="s">
        <v>313</v>
      </c>
      <c r="B2" s="99"/>
      <c r="C2" s="99"/>
      <c r="D2" s="99"/>
      <c r="E2" s="99"/>
      <c r="F2" s="99"/>
      <c r="G2" s="99"/>
      <c r="H2" s="99"/>
      <c r="I2" s="99"/>
      <c r="J2" s="99"/>
    </row>
    <row r="4" spans="1:12">
      <c r="A4" t="s">
        <v>311</v>
      </c>
      <c r="B4">
        <v>122.6</v>
      </c>
    </row>
    <row r="5" spans="1:12">
      <c r="A5" t="s">
        <v>308</v>
      </c>
      <c r="B5">
        <v>115.4</v>
      </c>
    </row>
    <row r="6" spans="1:12">
      <c r="A6" t="s">
        <v>309</v>
      </c>
      <c r="B6" s="11">
        <v>0.06</v>
      </c>
    </row>
    <row r="7" spans="1:12">
      <c r="A7" t="s">
        <v>310</v>
      </c>
    </row>
    <row r="28" spans="1:2">
      <c r="A28" s="6" t="s">
        <v>302</v>
      </c>
    </row>
    <row r="29" spans="1:2">
      <c r="A29" s="6" t="s">
        <v>303</v>
      </c>
    </row>
    <row r="30" spans="1:2">
      <c r="A30" s="7" t="s">
        <v>304</v>
      </c>
    </row>
    <row r="32" spans="1:2">
      <c r="A32" t="str">
        <f>A4</f>
        <v>Value</v>
      </c>
      <c r="B32">
        <f>B4</f>
        <v>122.6</v>
      </c>
    </row>
    <row r="33" spans="1:6">
      <c r="A33" t="str">
        <f t="shared" ref="A33:B33" si="0">A5</f>
        <v>Cost</v>
      </c>
      <c r="B33">
        <f t="shared" si="0"/>
        <v>115.4</v>
      </c>
      <c r="D33" t="s">
        <v>312</v>
      </c>
    </row>
    <row r="34" spans="1:6">
      <c r="A34" t="str">
        <f t="shared" ref="A34:B34" si="1">A6</f>
        <v>issuing cost</v>
      </c>
      <c r="B34" s="57">
        <f t="shared" si="1"/>
        <v>0.06</v>
      </c>
      <c r="C34" s="11"/>
      <c r="D34" t="s">
        <v>314</v>
      </c>
    </row>
    <row r="35" spans="1:6">
      <c r="A35" t="str">
        <f t="shared" ref="A35" si="2">A7</f>
        <v>Net gain</v>
      </c>
      <c r="B35" s="8">
        <f>B32-B33/(1-B34)</f>
        <v>-0.16595744680853386</v>
      </c>
      <c r="D35" t="s">
        <v>315</v>
      </c>
    </row>
    <row r="36" spans="1:6">
      <c r="D36" t="s">
        <v>316</v>
      </c>
      <c r="F36" t="s">
        <v>317</v>
      </c>
    </row>
    <row r="37" spans="1:6">
      <c r="E37" t="s">
        <v>319</v>
      </c>
      <c r="F37">
        <v>115.4</v>
      </c>
    </row>
    <row r="38" spans="1:6">
      <c r="E38" t="s">
        <v>318</v>
      </c>
      <c r="F38" t="s">
        <v>320</v>
      </c>
    </row>
    <row r="39" spans="1:6">
      <c r="A39">
        <v>115.4</v>
      </c>
      <c r="B39" s="11">
        <v>0.94</v>
      </c>
      <c r="E39" t="s">
        <v>318</v>
      </c>
      <c r="F39">
        <f>B33/(1-B34)</f>
        <v>122.76595744680853</v>
      </c>
    </row>
    <row r="40" spans="1:6">
      <c r="A40" s="56">
        <f>A39*B40/B39</f>
        <v>122.76595744680853</v>
      </c>
      <c r="B40" s="11">
        <v>1</v>
      </c>
      <c r="D40" t="s">
        <v>321</v>
      </c>
      <c r="F40" s="8">
        <f>B32-F39</f>
        <v>-0.16595744680853386</v>
      </c>
    </row>
  </sheetData>
  <mergeCells count="2">
    <mergeCell ref="A1:J1"/>
    <mergeCell ref="A2:J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N4" sqref="N4"/>
    </sheetView>
  </sheetViews>
  <sheetFormatPr defaultRowHeight="14.5"/>
  <cols>
    <col min="9" max="9" width="28.81640625" customWidth="1"/>
  </cols>
  <sheetData>
    <row r="1" spans="1:10" ht="90" customHeight="1">
      <c r="A1" s="100" t="s">
        <v>322</v>
      </c>
      <c r="B1" s="100"/>
      <c r="C1" s="100"/>
      <c r="D1" s="100"/>
      <c r="E1" s="100"/>
      <c r="F1" s="100"/>
      <c r="G1" s="100"/>
      <c r="H1" s="100"/>
      <c r="I1" s="100"/>
      <c r="J1" t="s">
        <v>380</v>
      </c>
    </row>
    <row r="2" spans="1:10" ht="85" customHeight="1">
      <c r="A2" s="100" t="s">
        <v>395</v>
      </c>
      <c r="B2" s="100"/>
      <c r="C2" s="100"/>
      <c r="D2" s="100"/>
      <c r="E2" s="100"/>
      <c r="F2" s="100"/>
      <c r="G2" s="100"/>
      <c r="H2" s="100"/>
      <c r="I2" s="100"/>
    </row>
    <row r="3" spans="1:10" ht="18.5">
      <c r="A3" s="85"/>
      <c r="B3" s="85"/>
      <c r="C3" s="85"/>
      <c r="D3" s="85"/>
      <c r="E3" s="85"/>
      <c r="F3" s="85"/>
      <c r="G3" s="85"/>
      <c r="H3" s="85"/>
      <c r="I3" s="85"/>
    </row>
    <row r="4" spans="1:10" ht="120.5" customHeight="1">
      <c r="A4" s="100" t="s">
        <v>324</v>
      </c>
      <c r="B4" s="100"/>
      <c r="C4" s="100"/>
      <c r="D4" s="100"/>
      <c r="E4" s="100"/>
      <c r="F4" s="100"/>
      <c r="G4" s="100"/>
      <c r="H4" s="100"/>
      <c r="I4" s="100"/>
    </row>
    <row r="9" spans="1:10">
      <c r="B9" s="11"/>
    </row>
    <row r="10" spans="1:10">
      <c r="B10" s="11"/>
    </row>
    <row r="31" spans="1:1">
      <c r="A31" s="6"/>
    </row>
    <row r="32" spans="1:1">
      <c r="A32" s="7"/>
    </row>
    <row r="33" spans="1:10">
      <c r="A33" s="7"/>
    </row>
    <row r="34" spans="1:10">
      <c r="A34" s="6"/>
    </row>
    <row r="35" spans="1:10">
      <c r="A35" s="6"/>
    </row>
    <row r="36" spans="1:10">
      <c r="A36" s="6"/>
      <c r="J36" s="8"/>
    </row>
  </sheetData>
  <mergeCells count="3">
    <mergeCell ref="A1:I1"/>
    <mergeCell ref="A2:I2"/>
    <mergeCell ref="A4:I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5" workbookViewId="0">
      <selection sqref="A1:I1"/>
    </sheetView>
  </sheetViews>
  <sheetFormatPr defaultRowHeight="14.5"/>
  <sheetData>
    <row r="1" spans="1:9" ht="152" customHeight="1">
      <c r="A1" s="101" t="s">
        <v>396</v>
      </c>
      <c r="B1" s="101"/>
      <c r="C1" s="101"/>
      <c r="D1" s="101"/>
      <c r="E1" s="101"/>
      <c r="F1" s="101"/>
      <c r="G1" s="101"/>
      <c r="H1" s="101"/>
      <c r="I1" s="101"/>
    </row>
    <row r="2" spans="1:9" ht="77.5" customHeight="1">
      <c r="A2" s="102" t="s">
        <v>323</v>
      </c>
      <c r="B2" s="102"/>
      <c r="C2" s="102"/>
      <c r="D2" s="102"/>
      <c r="E2" s="102"/>
      <c r="F2" s="102"/>
      <c r="G2" s="102"/>
      <c r="H2" s="102"/>
      <c r="I2" s="102"/>
    </row>
    <row r="4" spans="1:9" ht="87.75" customHeight="1">
      <c r="A4" s="99" t="s">
        <v>324</v>
      </c>
      <c r="B4" s="99"/>
      <c r="C4" s="99"/>
      <c r="D4" s="99"/>
      <c r="E4" s="99"/>
      <c r="F4" s="99"/>
      <c r="G4" s="99"/>
      <c r="H4" s="99"/>
      <c r="I4" s="99"/>
    </row>
    <row r="9" spans="1:9">
      <c r="B9" s="11"/>
    </row>
    <row r="10" spans="1:9">
      <c r="B10" s="11"/>
    </row>
    <row r="31" spans="1:1">
      <c r="A31" s="6"/>
    </row>
    <row r="32" spans="1:1">
      <c r="A32" s="7"/>
    </row>
    <row r="33" spans="1:10">
      <c r="A33" s="7"/>
    </row>
    <row r="34" spans="1:10">
      <c r="A34" s="6"/>
    </row>
    <row r="35" spans="1:10">
      <c r="A35" s="6"/>
    </row>
    <row r="36" spans="1:10">
      <c r="A36" s="6"/>
      <c r="J36" s="8"/>
    </row>
  </sheetData>
  <mergeCells count="3">
    <mergeCell ref="A1:I1"/>
    <mergeCell ref="A2:I2"/>
    <mergeCell ref="A4:I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opLeftCell="A9" workbookViewId="0">
      <selection activeCell="A18" sqref="A18"/>
    </sheetView>
  </sheetViews>
  <sheetFormatPr defaultRowHeight="14.5"/>
  <sheetData>
    <row r="1" spans="1:12" ht="38" customHeight="1">
      <c r="A1" t="s">
        <v>157</v>
      </c>
      <c r="L1" t="s">
        <v>379</v>
      </c>
    </row>
    <row r="2" spans="1:12" ht="127.5" customHeight="1">
      <c r="A2" s="103" t="s">
        <v>162</v>
      </c>
      <c r="B2" s="103"/>
      <c r="C2" s="103"/>
      <c r="D2" s="103"/>
      <c r="E2" s="103"/>
      <c r="F2" s="103"/>
      <c r="G2" s="103"/>
      <c r="H2" s="103"/>
      <c r="I2" s="103"/>
      <c r="J2" s="103"/>
    </row>
    <row r="3" spans="1:12" ht="247.5" customHeight="1">
      <c r="A3" t="s">
        <v>163</v>
      </c>
      <c r="B3">
        <v>9</v>
      </c>
    </row>
    <row r="4" spans="1:12">
      <c r="A4" t="s">
        <v>158</v>
      </c>
      <c r="B4" s="11">
        <v>0.11</v>
      </c>
    </row>
    <row r="5" spans="1:12">
      <c r="A5" t="s">
        <v>160</v>
      </c>
      <c r="B5">
        <v>1.35</v>
      </c>
      <c r="C5" t="s">
        <v>161</v>
      </c>
    </row>
    <row r="6" spans="1:12">
      <c r="A6" t="s">
        <v>159</v>
      </c>
      <c r="B6" s="23">
        <f>B5/(1+B4)^B3</f>
        <v>0.52774844144353872</v>
      </c>
      <c r="C6" t="s">
        <v>164</v>
      </c>
    </row>
    <row r="8" spans="1:12">
      <c r="E8" t="s">
        <v>179</v>
      </c>
    </row>
    <row r="17" spans="1:1">
      <c r="A17" s="5" t="s">
        <v>60</v>
      </c>
    </row>
    <row r="18" spans="1:1">
      <c r="A18" s="7"/>
    </row>
    <row r="19" spans="1:1">
      <c r="A19" s="6" t="s">
        <v>61</v>
      </c>
    </row>
  </sheetData>
  <mergeCells count="1">
    <mergeCell ref="A2:J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opLeftCell="A13" workbookViewId="0">
      <selection activeCell="B15" sqref="B15"/>
    </sheetView>
  </sheetViews>
  <sheetFormatPr defaultRowHeight="14.5"/>
  <sheetData>
    <row r="1" spans="1:13" ht="46.5" customHeight="1">
      <c r="A1" t="s">
        <v>168</v>
      </c>
      <c r="M1" t="s">
        <v>380</v>
      </c>
    </row>
    <row r="2" spans="1:13" ht="178.5" customHeight="1">
      <c r="A2" s="104" t="s">
        <v>180</v>
      </c>
      <c r="B2" s="104"/>
      <c r="C2" s="104"/>
      <c r="D2" s="104"/>
      <c r="E2" s="104"/>
      <c r="F2" s="104"/>
      <c r="G2" s="104"/>
      <c r="H2" s="104"/>
      <c r="I2" s="104"/>
    </row>
    <row r="4" spans="1:13" ht="96" customHeight="1"/>
    <row r="12" spans="1:13">
      <c r="A12" t="s">
        <v>159</v>
      </c>
      <c r="B12">
        <v>3500</v>
      </c>
    </row>
    <row r="13" spans="1:13">
      <c r="A13" t="s">
        <v>30</v>
      </c>
      <c r="B13" s="11">
        <v>0.13</v>
      </c>
    </row>
    <row r="14" spans="1:13">
      <c r="A14" t="s">
        <v>163</v>
      </c>
      <c r="B14">
        <v>7</v>
      </c>
    </row>
    <row r="15" spans="1:13">
      <c r="A15" t="s">
        <v>169</v>
      </c>
      <c r="B15" s="8"/>
    </row>
    <row r="17" spans="1:1">
      <c r="A17" s="6" t="s">
        <v>165</v>
      </c>
    </row>
    <row r="18" spans="1:1">
      <c r="A18" s="7" t="s">
        <v>166</v>
      </c>
    </row>
    <row r="19" spans="1:1">
      <c r="A19" s="6" t="s">
        <v>167</v>
      </c>
    </row>
  </sheetData>
  <mergeCells count="1">
    <mergeCell ref="A2:I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opLeftCell="A9" workbookViewId="0">
      <selection activeCell="O2" sqref="O2"/>
    </sheetView>
  </sheetViews>
  <sheetFormatPr defaultRowHeight="14.5"/>
  <cols>
    <col min="2" max="2" width="12" customWidth="1"/>
    <col min="10" max="10" width="20" bestFit="1" customWidth="1"/>
  </cols>
  <sheetData>
    <row r="1" spans="1:12" ht="108" customHeight="1">
      <c r="A1" s="98" t="s">
        <v>360</v>
      </c>
      <c r="B1" s="98"/>
      <c r="C1" s="98"/>
      <c r="D1" s="98"/>
      <c r="E1" s="98"/>
      <c r="F1" s="98"/>
      <c r="G1" s="98"/>
      <c r="H1" s="98"/>
      <c r="I1" s="98"/>
      <c r="J1" s="98"/>
      <c r="K1" t="s">
        <v>380</v>
      </c>
    </row>
    <row r="2" spans="1:12" ht="114" customHeight="1">
      <c r="A2" s="98" t="s">
        <v>361</v>
      </c>
      <c r="B2" s="98"/>
      <c r="C2" s="98"/>
      <c r="D2" s="98"/>
      <c r="E2" s="98"/>
      <c r="F2" s="98"/>
      <c r="G2" s="98"/>
      <c r="H2" s="98"/>
      <c r="I2" s="98"/>
      <c r="J2" s="98"/>
    </row>
    <row r="4" spans="1:12">
      <c r="C4" s="11"/>
    </row>
    <row r="5" spans="1:12">
      <c r="A5" s="12"/>
      <c r="B5" s="12"/>
      <c r="C5" s="12"/>
      <c r="D5" s="12"/>
      <c r="E5" s="12"/>
      <c r="F5" s="12"/>
      <c r="G5" s="12"/>
      <c r="H5" s="12"/>
      <c r="I5" s="12"/>
      <c r="J5" s="12"/>
      <c r="K5" s="12"/>
      <c r="L5" s="12"/>
    </row>
    <row r="6" spans="1:12">
      <c r="A6" s="12"/>
      <c r="B6" s="12"/>
      <c r="C6" s="12"/>
      <c r="D6" s="12"/>
      <c r="E6" s="12"/>
      <c r="F6" s="12"/>
      <c r="G6" s="12"/>
      <c r="H6" s="12"/>
      <c r="I6" s="12"/>
      <c r="J6" s="12"/>
      <c r="K6" s="12"/>
      <c r="L6" s="12"/>
    </row>
    <row r="11" spans="1:12">
      <c r="C11" s="11"/>
      <c r="F11" s="23"/>
      <c r="G11" s="23"/>
    </row>
    <row r="16" spans="1:12">
      <c r="D16" s="8"/>
    </row>
    <row r="18" spans="6:13">
      <c r="F18" s="84"/>
      <c r="G18" s="84"/>
      <c r="H18" s="84"/>
      <c r="I18" s="84"/>
    </row>
    <row r="19" spans="6:13">
      <c r="F19" s="84"/>
      <c r="G19" s="84"/>
      <c r="H19" s="84"/>
      <c r="I19" s="84"/>
    </row>
    <row r="20" spans="6:13">
      <c r="F20" s="84"/>
      <c r="G20" s="84"/>
      <c r="H20" s="84"/>
      <c r="I20" s="84"/>
      <c r="M20" s="83"/>
    </row>
    <row r="21" spans="6:13">
      <c r="F21" s="84"/>
      <c r="G21" s="84"/>
      <c r="H21" s="84"/>
      <c r="I21" s="84"/>
    </row>
    <row r="22" spans="6:13">
      <c r="F22" s="84"/>
      <c r="G22" s="84"/>
      <c r="H22" s="84"/>
      <c r="I22" s="84"/>
    </row>
    <row r="23" spans="6:13">
      <c r="F23" s="84"/>
      <c r="G23" s="84"/>
      <c r="H23" s="84"/>
      <c r="I23" s="84"/>
    </row>
    <row r="24" spans="6:13">
      <c r="F24" s="84"/>
      <c r="G24" s="84"/>
      <c r="H24" s="84"/>
      <c r="I24" s="84"/>
    </row>
    <row r="56" spans="1:1" ht="25.5">
      <c r="A56" s="68" t="s">
        <v>357</v>
      </c>
    </row>
    <row r="57" spans="1:1" ht="25.5">
      <c r="A57" s="68" t="s">
        <v>358</v>
      </c>
    </row>
    <row r="58" spans="1:1" ht="25.5">
      <c r="A58" s="68" t="s">
        <v>365</v>
      </c>
    </row>
    <row r="59" spans="1:1" ht="25.5">
      <c r="A59" s="68" t="s">
        <v>366</v>
      </c>
    </row>
    <row r="60" spans="1:1" ht="25.5">
      <c r="A60" s="68" t="s">
        <v>367</v>
      </c>
    </row>
    <row r="61" spans="1:1" ht="25.5">
      <c r="A61" s="68">
        <v>0.13</v>
      </c>
    </row>
    <row r="62" spans="1:1" ht="25.5">
      <c r="A62" s="68">
        <f xml:space="preserve"> 5.42624</f>
        <v>5.42624</v>
      </c>
    </row>
    <row r="63" spans="1:1" ht="25.5">
      <c r="A63" s="68" t="s">
        <v>359</v>
      </c>
    </row>
    <row r="64" spans="1:1" ht="25.5">
      <c r="A64" s="68" t="s">
        <v>368</v>
      </c>
    </row>
  </sheetData>
  <mergeCells count="2">
    <mergeCell ref="A1:J1"/>
    <mergeCell ref="A2:J2"/>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I30" sqref="I30"/>
    </sheetView>
  </sheetViews>
  <sheetFormatPr defaultRowHeight="14.5"/>
  <cols>
    <col min="1" max="1" width="18.54296875" customWidth="1"/>
  </cols>
  <sheetData>
    <row r="1" spans="1:12" ht="129.75" customHeight="1">
      <c r="A1" s="98" t="s">
        <v>386</v>
      </c>
      <c r="B1" s="98"/>
      <c r="C1" s="98"/>
      <c r="D1" s="98"/>
      <c r="E1" s="98"/>
      <c r="F1" s="98"/>
      <c r="G1" s="98"/>
      <c r="H1" s="98"/>
      <c r="I1" s="98"/>
      <c r="J1" s="98"/>
      <c r="L1" t="s">
        <v>380</v>
      </c>
    </row>
    <row r="2" spans="1:12" ht="121.5" customHeight="1">
      <c r="A2" s="98" t="s">
        <v>350</v>
      </c>
      <c r="B2" s="98"/>
      <c r="C2" s="98"/>
      <c r="D2" s="98"/>
      <c r="E2" s="98"/>
      <c r="F2" s="98"/>
      <c r="G2" s="98"/>
      <c r="H2" s="98"/>
      <c r="I2" s="98"/>
      <c r="J2" s="98"/>
    </row>
    <row r="17" spans="1:17">
      <c r="A17" t="s">
        <v>356</v>
      </c>
      <c r="B17" s="11">
        <v>0.09</v>
      </c>
    </row>
    <row r="18" spans="1:17">
      <c r="B18">
        <v>0</v>
      </c>
      <c r="C18">
        <v>1</v>
      </c>
      <c r="D18">
        <v>2</v>
      </c>
      <c r="E18">
        <v>3</v>
      </c>
      <c r="F18">
        <v>4</v>
      </c>
      <c r="G18" s="23">
        <v>5</v>
      </c>
      <c r="H18">
        <v>6</v>
      </c>
      <c r="I18">
        <v>7</v>
      </c>
      <c r="J18">
        <v>8</v>
      </c>
      <c r="K18">
        <v>9</v>
      </c>
      <c r="L18" s="23">
        <v>10</v>
      </c>
      <c r="M18">
        <v>11</v>
      </c>
      <c r="N18">
        <v>12</v>
      </c>
      <c r="O18">
        <v>13</v>
      </c>
      <c r="P18">
        <v>14</v>
      </c>
      <c r="Q18" s="23">
        <v>15</v>
      </c>
    </row>
    <row r="19" spans="1:17">
      <c r="A19" t="s">
        <v>351</v>
      </c>
      <c r="C19">
        <v>12</v>
      </c>
      <c r="D19">
        <v>12</v>
      </c>
      <c r="E19">
        <v>12</v>
      </c>
      <c r="F19">
        <v>12</v>
      </c>
      <c r="G19" s="23">
        <v>12</v>
      </c>
      <c r="H19">
        <v>12</v>
      </c>
      <c r="I19">
        <v>12</v>
      </c>
      <c r="J19">
        <v>12</v>
      </c>
      <c r="K19">
        <v>12</v>
      </c>
      <c r="L19" s="23">
        <v>12</v>
      </c>
      <c r="M19">
        <v>12</v>
      </c>
      <c r="N19">
        <v>12</v>
      </c>
      <c r="O19">
        <v>12</v>
      </c>
      <c r="P19">
        <v>12</v>
      </c>
      <c r="Q19" s="23">
        <v>12</v>
      </c>
    </row>
    <row r="20" spans="1:17">
      <c r="A20" t="s">
        <v>352</v>
      </c>
      <c r="B20">
        <v>30</v>
      </c>
      <c r="C20">
        <v>8</v>
      </c>
      <c r="D20">
        <v>8</v>
      </c>
      <c r="E20">
        <v>8</v>
      </c>
      <c r="F20">
        <v>8</v>
      </c>
      <c r="G20" s="23">
        <v>8</v>
      </c>
      <c r="H20">
        <v>8</v>
      </c>
      <c r="I20">
        <v>8</v>
      </c>
      <c r="J20">
        <v>8</v>
      </c>
      <c r="K20">
        <v>8</v>
      </c>
      <c r="L20" s="23">
        <v>8</v>
      </c>
      <c r="M20">
        <v>8</v>
      </c>
      <c r="N20">
        <v>8</v>
      </c>
      <c r="O20">
        <v>8</v>
      </c>
      <c r="P20">
        <v>8</v>
      </c>
      <c r="Q20" s="23">
        <v>8</v>
      </c>
    </row>
    <row r="21" spans="1:17">
      <c r="A21" t="s">
        <v>353</v>
      </c>
      <c r="G21" s="23">
        <v>3</v>
      </c>
      <c r="L21" s="23">
        <v>3</v>
      </c>
      <c r="Q21" s="23"/>
    </row>
    <row r="22" spans="1:17">
      <c r="A22" t="s">
        <v>354</v>
      </c>
      <c r="G22" s="23"/>
      <c r="L22" s="23"/>
      <c r="Q22" s="23">
        <v>5</v>
      </c>
    </row>
    <row r="23" spans="1:17">
      <c r="A23" t="s">
        <v>355</v>
      </c>
      <c r="B23">
        <f>B19-B20-B21+B22</f>
        <v>-30</v>
      </c>
      <c r="C23">
        <f>C19-C20-C21+C22</f>
        <v>4</v>
      </c>
      <c r="D23">
        <f t="shared" ref="D23:Q23" si="0">D19-D20-D21+D22</f>
        <v>4</v>
      </c>
      <c r="E23">
        <f t="shared" si="0"/>
        <v>4</v>
      </c>
      <c r="F23">
        <f t="shared" si="0"/>
        <v>4</v>
      </c>
      <c r="G23" s="23">
        <f t="shared" si="0"/>
        <v>1</v>
      </c>
      <c r="H23">
        <f t="shared" si="0"/>
        <v>4</v>
      </c>
      <c r="I23">
        <f t="shared" si="0"/>
        <v>4</v>
      </c>
      <c r="J23">
        <f t="shared" si="0"/>
        <v>4</v>
      </c>
      <c r="K23">
        <f t="shared" si="0"/>
        <v>4</v>
      </c>
      <c r="L23" s="23">
        <f t="shared" si="0"/>
        <v>1</v>
      </c>
      <c r="M23">
        <f t="shared" si="0"/>
        <v>4</v>
      </c>
      <c r="N23">
        <f t="shared" si="0"/>
        <v>4</v>
      </c>
      <c r="O23">
        <f t="shared" si="0"/>
        <v>4</v>
      </c>
      <c r="P23">
        <f t="shared" si="0"/>
        <v>4</v>
      </c>
      <c r="Q23" s="23">
        <f t="shared" si="0"/>
        <v>9</v>
      </c>
    </row>
    <row r="24" spans="1:17">
      <c r="A24" t="s">
        <v>144</v>
      </c>
      <c r="B24">
        <f t="shared" ref="B24:Q24" si="1">B23/(1+$B$17)^B18</f>
        <v>-30</v>
      </c>
      <c r="C24">
        <f t="shared" si="1"/>
        <v>3.6697247706422016</v>
      </c>
      <c r="D24">
        <f t="shared" si="1"/>
        <v>3.3667199730662398</v>
      </c>
      <c r="E24">
        <f t="shared" si="1"/>
        <v>3.0887339202442567</v>
      </c>
      <c r="F24">
        <f t="shared" si="1"/>
        <v>2.8337008442607856</v>
      </c>
      <c r="G24" s="23">
        <f t="shared" si="1"/>
        <v>0.64993138629834524</v>
      </c>
      <c r="H24">
        <f t="shared" si="1"/>
        <v>2.3850693075168632</v>
      </c>
      <c r="I24">
        <f t="shared" si="1"/>
        <v>2.1881369793732692</v>
      </c>
      <c r="J24">
        <f t="shared" si="1"/>
        <v>2.0074651186910724</v>
      </c>
      <c r="K24">
        <f t="shared" si="1"/>
        <v>1.8417111180652039</v>
      </c>
      <c r="L24" s="23">
        <f t="shared" si="1"/>
        <v>0.42241080689568894</v>
      </c>
      <c r="M24">
        <f t="shared" si="1"/>
        <v>1.5501314014520695</v>
      </c>
      <c r="N24">
        <f t="shared" si="1"/>
        <v>1.4221389004147427</v>
      </c>
      <c r="O24">
        <f t="shared" si="1"/>
        <v>1.304714587536461</v>
      </c>
      <c r="P24">
        <f t="shared" si="1"/>
        <v>1.1969858601251935</v>
      </c>
      <c r="Q24" s="23">
        <f t="shared" si="1"/>
        <v>2.4708423718180601</v>
      </c>
    </row>
    <row r="25" spans="1:17">
      <c r="A25" t="s">
        <v>145</v>
      </c>
      <c r="B25" s="8">
        <f>SUM(B24:Q24)</f>
        <v>0.39841734640045123</v>
      </c>
    </row>
    <row r="27" spans="1:17">
      <c r="A27" s="6" t="s">
        <v>342</v>
      </c>
    </row>
    <row r="28" spans="1:17">
      <c r="A28" s="7" t="s">
        <v>343</v>
      </c>
    </row>
    <row r="29" spans="1:17">
      <c r="A29" s="16">
        <v>15</v>
      </c>
    </row>
    <row r="30" spans="1:17">
      <c r="A30" s="65" t="s">
        <v>387</v>
      </c>
      <c r="D30" t="s">
        <v>388</v>
      </c>
      <c r="I30" t="s">
        <v>393</v>
      </c>
      <c r="L30">
        <f>4/9%*(1-1/(1+9%)^15)</f>
        <v>32.242753719416989</v>
      </c>
    </row>
    <row r="31" spans="1:17">
      <c r="A31" s="16">
        <f>1</f>
        <v>1</v>
      </c>
      <c r="D31" t="s">
        <v>389</v>
      </c>
      <c r="L31">
        <v>-30</v>
      </c>
    </row>
    <row r="32" spans="1:17">
      <c r="A32" s="7" t="s">
        <v>344</v>
      </c>
      <c r="D32" t="s">
        <v>390</v>
      </c>
      <c r="L32">
        <f>5/(1+9%)^15</f>
        <v>1.3726902065655888</v>
      </c>
    </row>
    <row r="33" spans="1:12">
      <c r="A33" s="7" t="s">
        <v>345</v>
      </c>
      <c r="D33" t="s">
        <v>391</v>
      </c>
      <c r="L33">
        <f>3/(1+9%)^5</f>
        <v>1.9497941588950358</v>
      </c>
    </row>
    <row r="34" spans="1:12">
      <c r="A34" s="66">
        <v>5</v>
      </c>
      <c r="D34" t="s">
        <v>392</v>
      </c>
      <c r="L34">
        <f>3/(1+9%)^10</f>
        <v>1.2672324206870667</v>
      </c>
    </row>
    <row r="35" spans="1:12">
      <c r="A35" s="7" t="s">
        <v>346</v>
      </c>
      <c r="D35" t="s">
        <v>145</v>
      </c>
      <c r="L35" s="8">
        <f>L30+L31+L32-L33-L34</f>
        <v>0.39841734640047521</v>
      </c>
    </row>
    <row r="36" spans="1:12">
      <c r="A36" s="66">
        <v>3</v>
      </c>
    </row>
    <row r="37" spans="1:12">
      <c r="A37" s="7" t="s">
        <v>347</v>
      </c>
    </row>
    <row r="38" spans="1:12">
      <c r="A38" s="66">
        <v>3</v>
      </c>
    </row>
    <row r="39" spans="1:12">
      <c r="A39" s="7" t="s">
        <v>348</v>
      </c>
    </row>
    <row r="40" spans="1:12">
      <c r="A40" s="6" t="s">
        <v>349</v>
      </c>
    </row>
  </sheetData>
  <mergeCells count="2">
    <mergeCell ref="A1:J1"/>
    <mergeCell ref="A2:J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2"/>
  <sheetViews>
    <sheetView zoomScale="120" zoomScaleNormal="120" workbookViewId="0">
      <selection activeCell="C6" sqref="C6"/>
    </sheetView>
  </sheetViews>
  <sheetFormatPr defaultColWidth="9.1796875" defaultRowHeight="18.5"/>
  <cols>
    <col min="1" max="1" width="26.1796875" style="59" customWidth="1"/>
    <col min="2" max="2" width="29.81640625" style="59" customWidth="1"/>
    <col min="3" max="16384" width="9.1796875" style="59"/>
  </cols>
  <sheetData>
    <row r="1" spans="2:9">
      <c r="B1" s="58" t="s">
        <v>331</v>
      </c>
      <c r="I1" s="59" t="s">
        <v>380</v>
      </c>
    </row>
    <row r="2" spans="2:9">
      <c r="B2" s="59">
        <v>0</v>
      </c>
      <c r="C2" s="59">
        <v>1</v>
      </c>
      <c r="D2" s="59">
        <v>2</v>
      </c>
      <c r="E2" s="59">
        <v>3</v>
      </c>
      <c r="F2" s="59">
        <v>4</v>
      </c>
      <c r="G2" s="59">
        <v>5</v>
      </c>
    </row>
    <row r="3" spans="2:9">
      <c r="B3" s="59">
        <v>-250</v>
      </c>
      <c r="C3" s="59">
        <v>60</v>
      </c>
      <c r="D3" s="59">
        <v>95</v>
      </c>
      <c r="E3" s="59">
        <v>85</v>
      </c>
      <c r="F3" s="59">
        <v>60</v>
      </c>
      <c r="G3" s="59">
        <v>-20</v>
      </c>
      <c r="H3" s="58"/>
    </row>
    <row r="5" spans="2:9">
      <c r="B5" s="58" t="s">
        <v>332</v>
      </c>
    </row>
    <row r="6" spans="2:9">
      <c r="B6" s="59" t="s">
        <v>30</v>
      </c>
      <c r="C6" s="62">
        <v>0.12</v>
      </c>
    </row>
    <row r="9" spans="2:9">
      <c r="B9" s="59" t="s">
        <v>333</v>
      </c>
    </row>
    <row r="10" spans="2:9">
      <c r="B10" s="59">
        <v>0</v>
      </c>
      <c r="C10" s="59">
        <v>1</v>
      </c>
      <c r="D10" s="59">
        <v>2</v>
      </c>
      <c r="E10" s="59">
        <v>3</v>
      </c>
      <c r="F10" s="59">
        <v>4</v>
      </c>
      <c r="G10" s="59">
        <v>5</v>
      </c>
    </row>
    <row r="11" spans="2:9">
      <c r="B11" s="59">
        <v>-250</v>
      </c>
      <c r="C11" s="59">
        <v>60</v>
      </c>
      <c r="D11" s="59">
        <v>95</v>
      </c>
      <c r="E11" s="59">
        <v>85</v>
      </c>
      <c r="F11" s="59">
        <v>60</v>
      </c>
      <c r="G11" s="59">
        <v>-20</v>
      </c>
    </row>
    <row r="12" spans="2:9">
      <c r="B12" s="58" t="s">
        <v>334</v>
      </c>
    </row>
    <row r="23" spans="2:8">
      <c r="B23" s="59" t="s">
        <v>93</v>
      </c>
      <c r="C23" s="59" t="s">
        <v>338</v>
      </c>
    </row>
    <row r="24" spans="2:8">
      <c r="C24" s="64">
        <f t="shared" ref="C24:H25" si="0">B2</f>
        <v>0</v>
      </c>
      <c r="D24" s="64">
        <f t="shared" si="0"/>
        <v>1</v>
      </c>
      <c r="E24" s="64">
        <f t="shared" si="0"/>
        <v>2</v>
      </c>
      <c r="F24" s="64">
        <f t="shared" si="0"/>
        <v>3</v>
      </c>
      <c r="G24" s="64">
        <f t="shared" si="0"/>
        <v>4</v>
      </c>
      <c r="H24" s="64">
        <f t="shared" si="0"/>
        <v>5</v>
      </c>
    </row>
    <row r="25" spans="2:8">
      <c r="C25" s="64">
        <f t="shared" si="0"/>
        <v>-250</v>
      </c>
      <c r="D25" s="64">
        <f t="shared" si="0"/>
        <v>60</v>
      </c>
      <c r="E25" s="64">
        <f t="shared" si="0"/>
        <v>95</v>
      </c>
      <c r="F25" s="64">
        <f t="shared" si="0"/>
        <v>85</v>
      </c>
      <c r="G25" s="64">
        <f t="shared" si="0"/>
        <v>60</v>
      </c>
      <c r="H25" s="64">
        <f t="shared" si="0"/>
        <v>-20</v>
      </c>
    </row>
    <row r="26" spans="2:8">
      <c r="C26" s="59" t="str">
        <f>B6</f>
        <v>r=</v>
      </c>
      <c r="D26" s="59">
        <f>C6</f>
        <v>0.12</v>
      </c>
    </row>
    <row r="27" spans="2:8">
      <c r="B27" s="59" t="s">
        <v>341</v>
      </c>
      <c r="C27" s="59">
        <f t="shared" ref="C27:H27" si="1">(1+$D$26)^C24</f>
        <v>1</v>
      </c>
      <c r="D27" s="59">
        <f t="shared" si="1"/>
        <v>1.1200000000000001</v>
      </c>
      <c r="E27" s="59">
        <f t="shared" si="1"/>
        <v>1.2544000000000002</v>
      </c>
      <c r="F27" s="59">
        <f t="shared" si="1"/>
        <v>1.4049280000000004</v>
      </c>
      <c r="G27" s="59">
        <f t="shared" si="1"/>
        <v>1.5735193600000004</v>
      </c>
      <c r="H27" s="59">
        <f t="shared" si="1"/>
        <v>1.7623416832000005</v>
      </c>
    </row>
    <row r="28" spans="2:8">
      <c r="B28" s="59" t="s">
        <v>144</v>
      </c>
      <c r="C28" s="59">
        <f t="shared" ref="C28:H28" si="2">C25/C27</f>
        <v>-250</v>
      </c>
      <c r="D28" s="59">
        <f t="shared" si="2"/>
        <v>53.571428571428569</v>
      </c>
      <c r="E28" s="59">
        <f t="shared" si="2"/>
        <v>75.733418367346928</v>
      </c>
      <c r="F28" s="59">
        <f t="shared" si="2"/>
        <v>60.501321064139923</v>
      </c>
      <c r="G28" s="59">
        <f t="shared" si="2"/>
        <v>38.131084704289869</v>
      </c>
      <c r="H28" s="59">
        <f t="shared" si="2"/>
        <v>-11.348537114371984</v>
      </c>
    </row>
    <row r="29" spans="2:8">
      <c r="B29" s="59" t="s">
        <v>145</v>
      </c>
      <c r="C29" s="63">
        <f>SUM(C28:H28)</f>
        <v>-33.411284407166711</v>
      </c>
      <c r="D29" s="59" t="s">
        <v>339</v>
      </c>
      <c r="E29" s="59" t="s">
        <v>340</v>
      </c>
    </row>
    <row r="34" spans="2:2">
      <c r="B34" s="60" t="s">
        <v>325</v>
      </c>
    </row>
    <row r="35" spans="2:2">
      <c r="B35" s="61" t="s">
        <v>326</v>
      </c>
    </row>
    <row r="36" spans="2:2">
      <c r="B36" s="60" t="s">
        <v>327</v>
      </c>
    </row>
    <row r="37" spans="2:2">
      <c r="B37" s="60" t="s">
        <v>328</v>
      </c>
    </row>
    <row r="38" spans="2:2">
      <c r="B38" s="60" t="s">
        <v>329</v>
      </c>
    </row>
    <row r="39" spans="2:2">
      <c r="B39" s="60" t="s">
        <v>330</v>
      </c>
    </row>
    <row r="40" spans="2:2">
      <c r="B40" s="60" t="s">
        <v>335</v>
      </c>
    </row>
    <row r="41" spans="2:2">
      <c r="B41" s="60" t="s">
        <v>336</v>
      </c>
    </row>
    <row r="42" spans="2:2">
      <c r="B42" s="60" t="s">
        <v>337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topLeftCell="A13" zoomScale="136" zoomScaleNormal="136" workbookViewId="0">
      <selection activeCell="G11" sqref="G11"/>
    </sheetView>
  </sheetViews>
  <sheetFormatPr defaultRowHeight="14.5"/>
  <cols>
    <col min="4" max="4" width="15.54296875" customWidth="1"/>
  </cols>
  <sheetData>
    <row r="1" spans="1:16">
      <c r="A1" t="s">
        <v>181</v>
      </c>
    </row>
    <row r="2" spans="1:16">
      <c r="A2" s="90" t="s">
        <v>182</v>
      </c>
      <c r="B2" s="90"/>
      <c r="C2" s="90"/>
      <c r="D2" s="90"/>
      <c r="E2" s="90"/>
      <c r="F2" s="90"/>
      <c r="G2" s="90"/>
      <c r="H2" s="90"/>
      <c r="I2" s="90"/>
      <c r="J2" s="90"/>
    </row>
    <row r="3" spans="1:16" ht="15.5">
      <c r="A3" s="93" t="s">
        <v>0</v>
      </c>
      <c r="B3" s="93"/>
      <c r="C3" s="93"/>
      <c r="D3" s="93"/>
      <c r="E3" s="93" t="s">
        <v>185</v>
      </c>
      <c r="F3" s="93"/>
      <c r="G3" s="93"/>
      <c r="H3" s="93"/>
    </row>
    <row r="4" spans="1:16" ht="15.5">
      <c r="A4" s="45"/>
      <c r="B4" s="46"/>
      <c r="C4" s="46"/>
      <c r="D4" s="46"/>
      <c r="E4" s="45"/>
      <c r="F4" s="46"/>
      <c r="G4" s="46"/>
      <c r="H4" s="46"/>
      <c r="I4" s="3"/>
      <c r="J4" s="3"/>
      <c r="K4" s="3"/>
      <c r="L4" s="3"/>
      <c r="M4" s="3"/>
      <c r="N4" s="3"/>
      <c r="O4" s="3"/>
      <c r="P4" s="3"/>
    </row>
    <row r="5" spans="1:16" ht="15.5">
      <c r="A5" s="46" t="s">
        <v>183</v>
      </c>
      <c r="B5" s="47">
        <v>42.5</v>
      </c>
      <c r="C5" s="48">
        <v>15</v>
      </c>
      <c r="D5" s="46" t="s">
        <v>193</v>
      </c>
      <c r="E5" s="46" t="s">
        <v>183</v>
      </c>
      <c r="F5" s="47">
        <v>10.8</v>
      </c>
      <c r="G5" s="48">
        <v>9</v>
      </c>
      <c r="H5" s="46" t="s">
        <v>193</v>
      </c>
      <c r="I5" s="3"/>
      <c r="J5" s="3"/>
      <c r="K5" s="3"/>
      <c r="L5" s="3"/>
      <c r="M5" s="3"/>
      <c r="N5" s="3"/>
      <c r="O5" s="3"/>
      <c r="P5" s="3"/>
    </row>
    <row r="6" spans="1:16" ht="15.5">
      <c r="A6" s="46" t="s">
        <v>184</v>
      </c>
      <c r="B6" s="47">
        <v>9.5</v>
      </c>
      <c r="C6" s="48">
        <v>37</v>
      </c>
      <c r="D6" s="46" t="s">
        <v>191</v>
      </c>
      <c r="E6" s="46" t="s">
        <v>184</v>
      </c>
      <c r="F6" s="47">
        <v>1.2</v>
      </c>
      <c r="G6" s="48">
        <v>3</v>
      </c>
      <c r="H6" s="46" t="s">
        <v>191</v>
      </c>
      <c r="I6" s="3"/>
      <c r="J6" s="3"/>
      <c r="K6" s="3"/>
      <c r="L6" s="3"/>
      <c r="M6" s="3"/>
      <c r="N6" s="3"/>
      <c r="O6" s="3"/>
      <c r="P6" s="3"/>
    </row>
    <row r="7" spans="1:16" ht="15.5">
      <c r="A7" s="46"/>
      <c r="B7" s="48">
        <f>SUM(B5:B6)</f>
        <v>52</v>
      </c>
      <c r="C7" s="48">
        <f>SUM(C5:C6)</f>
        <v>52</v>
      </c>
      <c r="D7" s="46"/>
      <c r="E7" s="46"/>
      <c r="F7" s="48">
        <f>SUM(F5:F6)</f>
        <v>12</v>
      </c>
      <c r="G7" s="48">
        <f>SUM(G5:G6)</f>
        <v>12</v>
      </c>
      <c r="H7" s="46"/>
      <c r="I7" s="3"/>
      <c r="J7" s="3"/>
      <c r="K7" s="3"/>
      <c r="L7" s="3"/>
      <c r="M7" s="3"/>
      <c r="N7" s="3"/>
      <c r="O7" s="3"/>
      <c r="P7" s="3"/>
    </row>
    <row r="8" spans="1:16" ht="37.5" customHeight="1">
      <c r="A8" s="91" t="s">
        <v>186</v>
      </c>
      <c r="B8" s="91"/>
      <c r="C8" s="91"/>
      <c r="D8" s="91"/>
      <c r="E8" s="91"/>
      <c r="F8" s="91"/>
      <c r="G8" s="91"/>
      <c r="H8" s="91"/>
      <c r="I8" s="91"/>
      <c r="J8" s="91"/>
      <c r="K8" s="3"/>
      <c r="L8" s="3"/>
      <c r="M8" s="3"/>
      <c r="N8" s="3"/>
      <c r="O8" s="3"/>
      <c r="P8" s="3"/>
    </row>
    <row r="9" spans="1:16" ht="29.25" customHeight="1">
      <c r="A9" s="92" t="s">
        <v>187</v>
      </c>
      <c r="B9" s="92"/>
      <c r="C9" s="92"/>
      <c r="D9" s="92"/>
      <c r="E9" s="92"/>
      <c r="F9" s="92"/>
      <c r="G9" s="92"/>
      <c r="H9" s="92"/>
      <c r="I9" s="92"/>
      <c r="J9" s="92"/>
      <c r="K9" s="3"/>
      <c r="L9" s="3"/>
      <c r="M9" s="3"/>
      <c r="N9" s="3"/>
      <c r="O9" s="3"/>
      <c r="P9" s="3"/>
    </row>
    <row r="10" spans="1:16" ht="15.5">
      <c r="A10" s="3" t="s">
        <v>220</v>
      </c>
      <c r="B10" s="3">
        <v>14</v>
      </c>
      <c r="C10" s="3"/>
      <c r="D10" s="3"/>
      <c r="E10" s="3"/>
      <c r="F10" s="3"/>
      <c r="G10" s="3"/>
      <c r="H10" s="3"/>
      <c r="I10" s="3"/>
      <c r="J10" s="3"/>
      <c r="K10" s="3"/>
      <c r="L10" s="3"/>
      <c r="M10" s="3"/>
      <c r="N10" s="3"/>
      <c r="O10" s="3"/>
      <c r="P10" s="3"/>
    </row>
    <row r="11" spans="1:16" ht="15.5">
      <c r="A11" s="3"/>
      <c r="B11" s="3"/>
      <c r="C11" s="3"/>
      <c r="D11" s="3"/>
      <c r="E11" s="3"/>
      <c r="F11" s="3"/>
      <c r="G11" s="3"/>
      <c r="H11" s="3"/>
      <c r="I11" s="3"/>
      <c r="J11" s="3"/>
      <c r="K11" s="3"/>
      <c r="L11" s="3"/>
      <c r="M11" s="3"/>
      <c r="N11" s="3"/>
      <c r="O11" s="3"/>
      <c r="P11" s="3"/>
    </row>
    <row r="12" spans="1:16" ht="15.5">
      <c r="A12" s="3"/>
      <c r="B12" s="43"/>
      <c r="C12" s="3"/>
      <c r="D12" s="3"/>
      <c r="E12" s="3"/>
      <c r="F12" s="3"/>
      <c r="G12" s="3"/>
      <c r="H12" s="3"/>
      <c r="I12" s="3"/>
      <c r="J12" s="3"/>
      <c r="K12" s="3"/>
      <c r="L12" s="3"/>
      <c r="M12" s="3"/>
      <c r="N12" s="3"/>
      <c r="O12" s="3"/>
      <c r="P12" s="3"/>
    </row>
    <row r="13" spans="1:16" ht="15.5">
      <c r="A13" s="3"/>
      <c r="B13" s="3"/>
      <c r="C13" s="44"/>
      <c r="D13" s="3"/>
      <c r="E13" s="3"/>
      <c r="F13" s="3"/>
      <c r="G13" s="3"/>
      <c r="H13" s="3" t="s">
        <v>212</v>
      </c>
      <c r="I13" s="3"/>
      <c r="J13" s="3"/>
      <c r="K13" s="3"/>
      <c r="L13" s="3"/>
      <c r="M13" s="3"/>
      <c r="N13" s="3"/>
      <c r="O13" s="3"/>
      <c r="P13" s="3"/>
    </row>
    <row r="14" spans="1:16" ht="15.5">
      <c r="A14" s="3"/>
      <c r="B14" s="3"/>
      <c r="C14" s="3"/>
      <c r="D14" s="44"/>
      <c r="E14" s="3"/>
      <c r="F14" s="3"/>
      <c r="G14" s="3"/>
      <c r="H14" s="3" t="s">
        <v>213</v>
      </c>
      <c r="I14" s="3"/>
      <c r="J14" s="3"/>
      <c r="K14" s="3"/>
      <c r="L14" s="3"/>
      <c r="M14" s="3"/>
      <c r="N14" s="3"/>
      <c r="O14" s="3"/>
      <c r="P14" s="3"/>
    </row>
    <row r="15" spans="1:16" ht="15.5">
      <c r="A15" s="3"/>
      <c r="B15" s="3"/>
      <c r="C15" s="3"/>
      <c r="D15" s="3"/>
      <c r="E15" s="3"/>
      <c r="F15" s="3"/>
      <c r="G15" s="3"/>
      <c r="H15" s="3" t="s">
        <v>216</v>
      </c>
      <c r="I15" s="3"/>
      <c r="J15" s="3"/>
      <c r="K15" s="3"/>
      <c r="L15" s="3"/>
      <c r="M15" s="3"/>
      <c r="N15" s="3"/>
      <c r="O15" s="3"/>
      <c r="P15" s="3"/>
    </row>
    <row r="16" spans="1:16" ht="15.5">
      <c r="A16" s="3"/>
      <c r="B16" s="43"/>
      <c r="C16" s="3"/>
      <c r="D16" s="3"/>
      <c r="E16" s="3"/>
      <c r="F16" s="3"/>
      <c r="G16" s="3"/>
      <c r="H16" s="3" t="s">
        <v>217</v>
      </c>
      <c r="I16" s="3"/>
      <c r="J16" s="3"/>
      <c r="K16" s="3"/>
      <c r="L16" s="3"/>
      <c r="M16" s="3"/>
      <c r="N16" s="3"/>
      <c r="O16" s="3"/>
      <c r="P16" s="3"/>
    </row>
    <row r="17" spans="1:16" ht="15.5">
      <c r="A17" s="3"/>
      <c r="B17" s="3"/>
      <c r="C17" s="3"/>
      <c r="D17" s="44"/>
      <c r="E17" s="3"/>
      <c r="F17" s="3"/>
      <c r="G17" s="3"/>
      <c r="H17" s="3"/>
      <c r="I17" s="3"/>
      <c r="J17" s="3"/>
      <c r="K17" s="3"/>
      <c r="L17" s="3"/>
      <c r="M17" s="3"/>
      <c r="N17" s="3"/>
      <c r="O17" s="3"/>
      <c r="P17" s="3"/>
    </row>
    <row r="18" spans="1:16" ht="15.5">
      <c r="A18" s="3"/>
      <c r="B18" s="3"/>
      <c r="C18" s="3"/>
      <c r="D18" s="44"/>
      <c r="E18" s="3"/>
      <c r="F18" s="3"/>
      <c r="G18" s="3"/>
      <c r="I18" s="3"/>
      <c r="J18" s="3"/>
      <c r="K18" s="3"/>
      <c r="L18" s="3"/>
      <c r="M18" s="3"/>
      <c r="N18" s="3"/>
      <c r="O18" s="3"/>
      <c r="P18" s="3"/>
    </row>
    <row r="19" spans="1:16" ht="15.5">
      <c r="A19" s="3"/>
      <c r="B19" s="3"/>
      <c r="C19" s="3"/>
      <c r="D19" s="3"/>
      <c r="E19" s="3"/>
      <c r="F19" s="3"/>
      <c r="G19" s="3"/>
      <c r="I19" s="3"/>
      <c r="J19" s="3"/>
      <c r="K19" s="3"/>
      <c r="L19" s="3"/>
      <c r="M19" s="3"/>
      <c r="N19" s="3"/>
      <c r="O19" s="3"/>
      <c r="P19" s="3"/>
    </row>
    <row r="20" spans="1:16" ht="15.5">
      <c r="A20" s="3"/>
      <c r="B20" s="43"/>
      <c r="C20" s="3"/>
      <c r="D20" s="3"/>
      <c r="E20" s="3"/>
      <c r="F20" s="3"/>
      <c r="G20" s="3"/>
      <c r="I20" s="44"/>
      <c r="J20" s="44"/>
      <c r="K20" s="3"/>
      <c r="L20" s="3"/>
      <c r="M20" s="3"/>
      <c r="N20" s="3"/>
      <c r="O20" s="3"/>
      <c r="P20" s="3"/>
    </row>
    <row r="21" spans="1:16" ht="15.5">
      <c r="A21" s="3"/>
      <c r="B21" s="3"/>
      <c r="C21" s="3"/>
      <c r="D21" s="44"/>
      <c r="E21" s="3"/>
      <c r="F21" s="3"/>
      <c r="G21" s="3"/>
      <c r="H21" s="3"/>
      <c r="I21" s="44"/>
      <c r="J21" s="44"/>
      <c r="K21" s="3"/>
      <c r="L21" s="3"/>
      <c r="M21" s="3"/>
      <c r="N21" s="3"/>
      <c r="O21" s="3"/>
      <c r="P21" s="3"/>
    </row>
    <row r="22" spans="1:16" ht="15.5">
      <c r="A22" s="3"/>
      <c r="B22" s="3"/>
      <c r="C22" s="3"/>
      <c r="D22" s="44"/>
      <c r="E22" s="3"/>
      <c r="F22" s="3"/>
      <c r="G22" s="3"/>
      <c r="H22" s="3"/>
      <c r="I22" s="3"/>
      <c r="J22" s="3"/>
      <c r="K22" s="3"/>
      <c r="L22" s="3"/>
      <c r="M22" s="3"/>
      <c r="N22" s="3"/>
      <c r="O22" s="3"/>
      <c r="P22" s="3"/>
    </row>
    <row r="23" spans="1:16" ht="15.5">
      <c r="A23" s="3"/>
      <c r="B23" s="3"/>
      <c r="C23" s="3"/>
      <c r="D23" s="3"/>
      <c r="E23" s="3"/>
      <c r="F23" s="3"/>
      <c r="G23" s="3"/>
      <c r="H23" s="3"/>
      <c r="I23" s="3"/>
      <c r="J23" s="3"/>
      <c r="K23" s="3"/>
      <c r="L23" s="3"/>
      <c r="M23" s="3"/>
      <c r="N23" s="3"/>
      <c r="O23" s="3"/>
      <c r="P23" s="3"/>
    </row>
    <row r="24" spans="1:16" ht="15.5">
      <c r="A24" s="3"/>
      <c r="B24" s="43"/>
      <c r="C24" s="3"/>
      <c r="D24" s="3"/>
      <c r="E24" s="3"/>
      <c r="F24" s="3"/>
      <c r="G24" s="3"/>
      <c r="H24" s="3"/>
      <c r="I24" s="3"/>
      <c r="J24" s="3"/>
      <c r="K24" s="3"/>
      <c r="L24" s="3"/>
      <c r="M24" s="3"/>
      <c r="N24" s="3"/>
      <c r="O24" s="3"/>
      <c r="P24" s="3"/>
    </row>
    <row r="25" spans="1:16" ht="15.5">
      <c r="A25" s="3"/>
      <c r="B25" s="3"/>
      <c r="C25" s="3"/>
      <c r="D25" s="44"/>
      <c r="E25" s="3"/>
      <c r="F25" s="3"/>
      <c r="G25" s="3"/>
      <c r="H25" s="3"/>
      <c r="I25" s="3"/>
      <c r="J25" s="3"/>
      <c r="K25" s="3"/>
      <c r="L25" s="3"/>
      <c r="M25" s="3"/>
      <c r="N25" s="3"/>
      <c r="O25" s="3"/>
      <c r="P25" s="3"/>
    </row>
    <row r="26" spans="1:16" ht="15.5">
      <c r="A26" s="3"/>
      <c r="B26" s="3"/>
      <c r="C26" s="3"/>
      <c r="D26" s="44"/>
      <c r="E26" s="3"/>
      <c r="F26" s="3"/>
      <c r="G26" s="3"/>
      <c r="H26" s="3"/>
      <c r="I26" s="3"/>
      <c r="J26" s="3"/>
      <c r="K26" s="3"/>
      <c r="L26" s="3"/>
      <c r="M26" s="3"/>
      <c r="N26" s="3"/>
      <c r="O26" s="3"/>
      <c r="P26" s="3"/>
    </row>
    <row r="27" spans="1:16" ht="15.5">
      <c r="A27" s="3"/>
      <c r="B27" s="3"/>
      <c r="C27" s="3"/>
      <c r="D27" s="3"/>
      <c r="E27" s="3"/>
      <c r="F27" s="3"/>
      <c r="G27" s="3"/>
      <c r="H27" s="3"/>
      <c r="I27" s="3"/>
      <c r="J27" s="3"/>
      <c r="K27" s="3"/>
      <c r="L27" s="3"/>
      <c r="M27" s="3"/>
      <c r="N27" s="3"/>
      <c r="O27" s="3"/>
      <c r="P27" s="3"/>
    </row>
    <row r="44" spans="1:8" ht="25">
      <c r="A44" s="42" t="s">
        <v>211</v>
      </c>
    </row>
    <row r="45" spans="1:8">
      <c r="A45" s="6" t="s">
        <v>194</v>
      </c>
    </row>
    <row r="46" spans="1:8" ht="15.5">
      <c r="A46" s="6" t="s">
        <v>195</v>
      </c>
      <c r="F46" s="3" t="s">
        <v>93</v>
      </c>
    </row>
    <row r="47" spans="1:8" ht="15.5">
      <c r="A47" s="6" t="s">
        <v>196</v>
      </c>
      <c r="F47" s="43" t="s">
        <v>218</v>
      </c>
      <c r="H47">
        <f>B10</f>
        <v>14</v>
      </c>
    </row>
    <row r="48" spans="1:8" ht="15.5">
      <c r="A48" s="14" t="s">
        <v>197</v>
      </c>
      <c r="F48" s="3" t="s">
        <v>219</v>
      </c>
      <c r="H48">
        <f>F6</f>
        <v>1.2</v>
      </c>
    </row>
    <row r="49" spans="1:10">
      <c r="A49" s="6" t="s">
        <v>198</v>
      </c>
      <c r="F49" t="s">
        <v>221</v>
      </c>
      <c r="H49">
        <f>H47-H48</f>
        <v>12.8</v>
      </c>
    </row>
    <row r="50" spans="1:10">
      <c r="A50" s="6" t="s">
        <v>199</v>
      </c>
      <c r="F50" t="s">
        <v>222</v>
      </c>
      <c r="H50">
        <f>F5</f>
        <v>10.8</v>
      </c>
    </row>
    <row r="51" spans="1:10">
      <c r="A51" s="6" t="s">
        <v>200</v>
      </c>
      <c r="F51" t="s">
        <v>223</v>
      </c>
      <c r="H51">
        <f>H49-H50</f>
        <v>2</v>
      </c>
    </row>
    <row r="53" spans="1:10">
      <c r="A53" s="6" t="s">
        <v>201</v>
      </c>
      <c r="F53" t="s">
        <v>224</v>
      </c>
    </row>
    <row r="54" spans="1:10" ht="15.5">
      <c r="A54" s="6" t="s">
        <v>202</v>
      </c>
      <c r="F54" s="43" t="s">
        <v>192</v>
      </c>
      <c r="G54" s="3"/>
      <c r="H54" s="3"/>
      <c r="I54" s="3"/>
    </row>
    <row r="55" spans="1:10" ht="15.5">
      <c r="A55" s="6" t="s">
        <v>203</v>
      </c>
      <c r="F55" s="3" t="s">
        <v>183</v>
      </c>
      <c r="G55" s="3">
        <f>B5+H50+H51</f>
        <v>55.3</v>
      </c>
      <c r="H55" s="44">
        <f>C5+B10</f>
        <v>29</v>
      </c>
      <c r="I55" s="3" t="s">
        <v>193</v>
      </c>
      <c r="J55" t="s">
        <v>225</v>
      </c>
    </row>
    <row r="56" spans="1:10" ht="15.5">
      <c r="A56" s="6" t="s">
        <v>204</v>
      </c>
      <c r="F56" s="3" t="s">
        <v>184</v>
      </c>
      <c r="G56" s="3">
        <f>B6+F6</f>
        <v>10.7</v>
      </c>
      <c r="H56" s="44">
        <f>H57-H55</f>
        <v>37</v>
      </c>
      <c r="I56" s="3" t="s">
        <v>191</v>
      </c>
      <c r="J56" t="s">
        <v>226</v>
      </c>
    </row>
    <row r="57" spans="1:10" ht="15.5">
      <c r="A57" s="6" t="s">
        <v>205</v>
      </c>
      <c r="F57" s="3"/>
      <c r="G57" s="3">
        <f>SUM(G55:G56)</f>
        <v>66</v>
      </c>
      <c r="H57" s="3">
        <f>G57</f>
        <v>66</v>
      </c>
      <c r="I57" s="3"/>
      <c r="J57" t="s">
        <v>227</v>
      </c>
    </row>
    <row r="58" spans="1:10">
      <c r="A58" s="6" t="s">
        <v>206</v>
      </c>
      <c r="J58" t="s">
        <v>228</v>
      </c>
    </row>
    <row r="59" spans="1:10">
      <c r="A59" s="6" t="s">
        <v>207</v>
      </c>
    </row>
    <row r="60" spans="1:10">
      <c r="A60" s="6" t="s">
        <v>208</v>
      </c>
    </row>
    <row r="61" spans="1:10">
      <c r="A61" s="6" t="s">
        <v>209</v>
      </c>
    </row>
    <row r="62" spans="1:10">
      <c r="A62" s="6" t="s">
        <v>210</v>
      </c>
    </row>
    <row r="63" spans="1:10">
      <c r="A63" s="28" t="s">
        <v>192</v>
      </c>
    </row>
    <row r="64" spans="1:10">
      <c r="A64" s="6" t="s">
        <v>188</v>
      </c>
    </row>
    <row r="65" spans="1:1">
      <c r="A65" s="6" t="s">
        <v>189</v>
      </c>
    </row>
    <row r="66" spans="1:1">
      <c r="A66" s="6" t="s">
        <v>190</v>
      </c>
    </row>
    <row r="67" spans="1:1">
      <c r="A67" s="6" t="s">
        <v>167</v>
      </c>
    </row>
  </sheetData>
  <mergeCells count="5">
    <mergeCell ref="A2:J2"/>
    <mergeCell ref="A8:J8"/>
    <mergeCell ref="A9:J9"/>
    <mergeCell ref="A3:D3"/>
    <mergeCell ref="E3:H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zoomScale="202" zoomScaleNormal="202" workbookViewId="0">
      <selection activeCell="B8" sqref="B8"/>
    </sheetView>
  </sheetViews>
  <sheetFormatPr defaultRowHeight="14.5"/>
  <cols>
    <col min="4" max="4" width="11.453125" customWidth="1"/>
    <col min="10" max="10" width="13.26953125" customWidth="1"/>
    <col min="11" max="11" width="9.81640625" customWidth="1"/>
    <col min="12" max="12" width="15" customWidth="1"/>
    <col min="18" max="18" width="6.7265625" customWidth="1"/>
  </cols>
  <sheetData>
    <row r="1" spans="1:19">
      <c r="A1" s="10" t="s">
        <v>108</v>
      </c>
      <c r="F1" t="s">
        <v>380</v>
      </c>
      <c r="I1" t="s">
        <v>117</v>
      </c>
    </row>
    <row r="2" spans="1:19">
      <c r="A2" s="1" t="s">
        <v>402</v>
      </c>
      <c r="I2" t="s">
        <v>130</v>
      </c>
      <c r="Q2">
        <v>180000</v>
      </c>
      <c r="S2">
        <v>5</v>
      </c>
    </row>
    <row r="3" spans="1:19">
      <c r="A3" s="1" t="s">
        <v>403</v>
      </c>
      <c r="I3" t="s">
        <v>118</v>
      </c>
      <c r="Q3">
        <v>11400</v>
      </c>
    </row>
    <row r="4" spans="1:19">
      <c r="A4" s="1" t="s">
        <v>404</v>
      </c>
      <c r="I4" t="s">
        <v>119</v>
      </c>
      <c r="Q4">
        <v>19000</v>
      </c>
      <c r="S4">
        <v>10</v>
      </c>
    </row>
    <row r="5" spans="1:19">
      <c r="A5" s="1" t="s">
        <v>405</v>
      </c>
      <c r="I5" t="s">
        <v>120</v>
      </c>
      <c r="Q5">
        <v>6500</v>
      </c>
      <c r="R5" t="s">
        <v>139</v>
      </c>
      <c r="S5" s="11">
        <v>0.05</v>
      </c>
    </row>
    <row r="6" spans="1:19">
      <c r="A6" s="27" t="s">
        <v>401</v>
      </c>
      <c r="I6" t="s">
        <v>128</v>
      </c>
      <c r="P6" t="s">
        <v>132</v>
      </c>
      <c r="Q6" s="11">
        <v>0.12</v>
      </c>
      <c r="R6" t="s">
        <v>133</v>
      </c>
      <c r="S6" s="11">
        <v>0.08</v>
      </c>
    </row>
    <row r="7" spans="1:19">
      <c r="A7" s="27"/>
    </row>
    <row r="8" spans="1:19">
      <c r="A8" s="27" t="s">
        <v>406</v>
      </c>
      <c r="I8" t="s">
        <v>129</v>
      </c>
    </row>
    <row r="9" spans="1:19">
      <c r="A9" s="27" t="s">
        <v>407</v>
      </c>
      <c r="I9" t="s">
        <v>125</v>
      </c>
    </row>
    <row r="10" spans="1:19">
      <c r="A10" s="27" t="s">
        <v>408</v>
      </c>
      <c r="I10" t="s">
        <v>126</v>
      </c>
    </row>
    <row r="11" spans="1:19">
      <c r="A11" s="27" t="s">
        <v>409</v>
      </c>
      <c r="I11" t="s">
        <v>127</v>
      </c>
    </row>
    <row r="13" spans="1:19">
      <c r="A13" s="27"/>
    </row>
    <row r="15" spans="1:19">
      <c r="A15" s="27"/>
    </row>
    <row r="16" spans="1:19">
      <c r="A16" s="5" t="s">
        <v>95</v>
      </c>
    </row>
    <row r="17" spans="1:17">
      <c r="A17" s="6" t="s">
        <v>96</v>
      </c>
      <c r="I17" t="s">
        <v>146</v>
      </c>
    </row>
    <row r="18" spans="1:17">
      <c r="A18" s="14" t="s">
        <v>100</v>
      </c>
      <c r="B18" t="s">
        <v>101</v>
      </c>
      <c r="C18" t="s">
        <v>102</v>
      </c>
      <c r="D18" t="s">
        <v>103</v>
      </c>
      <c r="E18" s="14" t="s">
        <v>97</v>
      </c>
      <c r="I18" s="12" t="s">
        <v>121</v>
      </c>
      <c r="J18" s="12" t="s">
        <v>122</v>
      </c>
      <c r="K18" s="12" t="s">
        <v>123</v>
      </c>
      <c r="L18" s="12" t="s">
        <v>124</v>
      </c>
      <c r="M18" s="12" t="s">
        <v>123</v>
      </c>
    </row>
    <row r="19" spans="1:17">
      <c r="A19" s="6" t="s">
        <v>104</v>
      </c>
      <c r="I19" s="31" t="s">
        <v>104</v>
      </c>
      <c r="J19" s="12"/>
      <c r="K19" s="12"/>
      <c r="L19" s="12"/>
      <c r="M19" s="12"/>
      <c r="P19" t="s">
        <v>131</v>
      </c>
    </row>
    <row r="20" spans="1:17">
      <c r="A20" s="6" t="s">
        <v>105</v>
      </c>
      <c r="I20" s="31" t="s">
        <v>105</v>
      </c>
      <c r="J20" s="12"/>
      <c r="K20" s="12"/>
      <c r="L20" s="12"/>
      <c r="M20" s="12"/>
      <c r="N20" s="21"/>
      <c r="P20" s="29" t="s">
        <v>140</v>
      </c>
      <c r="Q20" s="23" t="s">
        <v>141</v>
      </c>
    </row>
    <row r="21" spans="1:17">
      <c r="A21" s="6" t="s">
        <v>106</v>
      </c>
      <c r="B21" s="23"/>
      <c r="I21" s="31" t="s">
        <v>106</v>
      </c>
      <c r="J21" s="12"/>
      <c r="K21" s="12"/>
      <c r="L21" s="12"/>
      <c r="M21" s="12"/>
      <c r="P21" s="19"/>
    </row>
    <row r="22" spans="1:17">
      <c r="A22" s="6" t="s">
        <v>107</v>
      </c>
      <c r="D22" s="23"/>
      <c r="I22" s="31" t="s">
        <v>107</v>
      </c>
      <c r="J22" s="12"/>
      <c r="K22" s="12"/>
      <c r="L22" s="12"/>
      <c r="M22" s="12"/>
      <c r="N22" s="6"/>
      <c r="P22" s="30" t="s">
        <v>142</v>
      </c>
      <c r="Q22" s="23" t="s">
        <v>143</v>
      </c>
    </row>
    <row r="23" spans="1:17">
      <c r="P23" s="15"/>
    </row>
    <row r="24" spans="1:17">
      <c r="A24" s="21" t="s">
        <v>98</v>
      </c>
    </row>
    <row r="25" spans="1:17">
      <c r="A25" s="21" t="s">
        <v>147</v>
      </c>
    </row>
    <row r="26" spans="1:17">
      <c r="A26" s="21" t="s">
        <v>99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tabSelected="1" zoomScale="202" zoomScaleNormal="202" workbookViewId="0">
      <selection activeCell="F2" sqref="F2"/>
    </sheetView>
  </sheetViews>
  <sheetFormatPr defaultRowHeight="14.5"/>
  <cols>
    <col min="4" max="4" width="11.453125" customWidth="1"/>
    <col min="10" max="10" width="13.26953125" customWidth="1"/>
    <col min="11" max="11" width="9.81640625" customWidth="1"/>
    <col min="12" max="12" width="15" customWidth="1"/>
    <col min="18" max="18" width="6.7265625" customWidth="1"/>
  </cols>
  <sheetData>
    <row r="1" spans="1:19">
      <c r="A1" s="10" t="s">
        <v>108</v>
      </c>
      <c r="F1" t="s">
        <v>380</v>
      </c>
      <c r="I1" t="s">
        <v>117</v>
      </c>
    </row>
    <row r="2" spans="1:19">
      <c r="A2" s="1" t="s">
        <v>109</v>
      </c>
      <c r="I2" t="s">
        <v>130</v>
      </c>
      <c r="Q2">
        <v>180000</v>
      </c>
      <c r="S2">
        <v>5</v>
      </c>
    </row>
    <row r="3" spans="1:19">
      <c r="A3" s="1" t="s">
        <v>394</v>
      </c>
      <c r="I3" t="s">
        <v>118</v>
      </c>
      <c r="Q3">
        <v>11400</v>
      </c>
    </row>
    <row r="4" spans="1:19">
      <c r="A4" s="1" t="s">
        <v>110</v>
      </c>
      <c r="I4" t="s">
        <v>119</v>
      </c>
      <c r="Q4">
        <v>19000</v>
      </c>
      <c r="S4">
        <v>10</v>
      </c>
    </row>
    <row r="5" spans="1:19">
      <c r="A5" s="1" t="s">
        <v>111</v>
      </c>
      <c r="I5" t="s">
        <v>120</v>
      </c>
      <c r="Q5">
        <v>6500</v>
      </c>
      <c r="R5" t="s">
        <v>139</v>
      </c>
      <c r="S5" s="11">
        <v>0.05</v>
      </c>
    </row>
    <row r="6" spans="1:19">
      <c r="A6" s="27" t="s">
        <v>112</v>
      </c>
      <c r="I6" t="s">
        <v>128</v>
      </c>
      <c r="P6" t="s">
        <v>132</v>
      </c>
      <c r="Q6" s="11">
        <v>0.12</v>
      </c>
      <c r="R6" t="s">
        <v>133</v>
      </c>
      <c r="S6" s="11">
        <v>0.08</v>
      </c>
    </row>
    <row r="7" spans="1:19">
      <c r="A7" s="27"/>
    </row>
    <row r="8" spans="1:19">
      <c r="A8" s="27" t="s">
        <v>113</v>
      </c>
      <c r="I8" t="s">
        <v>129</v>
      </c>
    </row>
    <row r="9" spans="1:19">
      <c r="A9" s="27" t="s">
        <v>114</v>
      </c>
      <c r="I9" t="s">
        <v>125</v>
      </c>
    </row>
    <row r="10" spans="1:19">
      <c r="A10" s="27" t="s">
        <v>115</v>
      </c>
      <c r="I10" t="s">
        <v>126</v>
      </c>
    </row>
    <row r="11" spans="1:19">
      <c r="A11" s="27" t="s">
        <v>116</v>
      </c>
      <c r="I11" t="s">
        <v>127</v>
      </c>
    </row>
    <row r="13" spans="1:19">
      <c r="A13" s="27"/>
    </row>
    <row r="15" spans="1:19">
      <c r="A15" s="27"/>
    </row>
    <row r="16" spans="1:19">
      <c r="A16" s="5" t="s">
        <v>95</v>
      </c>
    </row>
    <row r="17" spans="1:17">
      <c r="A17" s="6" t="s">
        <v>96</v>
      </c>
      <c r="I17" t="s">
        <v>146</v>
      </c>
    </row>
    <row r="18" spans="1:17">
      <c r="A18" s="14" t="s">
        <v>100</v>
      </c>
      <c r="B18" t="s">
        <v>101</v>
      </c>
      <c r="C18" t="s">
        <v>102</v>
      </c>
      <c r="D18" t="s">
        <v>103</v>
      </c>
      <c r="E18" s="14" t="s">
        <v>97</v>
      </c>
      <c r="I18" s="12" t="s">
        <v>121</v>
      </c>
      <c r="J18" s="12" t="s">
        <v>122</v>
      </c>
      <c r="K18" s="12" t="s">
        <v>123</v>
      </c>
      <c r="L18" s="12" t="s">
        <v>124</v>
      </c>
      <c r="M18" s="12" t="s">
        <v>123</v>
      </c>
    </row>
    <row r="19" spans="1:17">
      <c r="A19" s="6" t="s">
        <v>104</v>
      </c>
      <c r="I19" s="31" t="s">
        <v>104</v>
      </c>
      <c r="J19" s="12"/>
      <c r="K19" s="12"/>
      <c r="L19" s="12"/>
      <c r="M19" s="12"/>
      <c r="P19" t="s">
        <v>131</v>
      </c>
    </row>
    <row r="20" spans="1:17">
      <c r="A20" s="6" t="s">
        <v>105</v>
      </c>
      <c r="I20" s="31" t="s">
        <v>105</v>
      </c>
      <c r="J20" s="12"/>
      <c r="K20" s="12"/>
      <c r="L20" s="12"/>
      <c r="M20" s="12"/>
      <c r="N20" s="21"/>
      <c r="P20" s="29" t="s">
        <v>140</v>
      </c>
      <c r="Q20" s="23" t="s">
        <v>141</v>
      </c>
    </row>
    <row r="21" spans="1:17">
      <c r="A21" s="6" t="s">
        <v>106</v>
      </c>
      <c r="B21" s="23"/>
      <c r="I21" s="31" t="s">
        <v>106</v>
      </c>
      <c r="J21" s="12"/>
      <c r="K21" s="12"/>
      <c r="L21" s="12"/>
      <c r="M21" s="12"/>
      <c r="P21" s="19"/>
    </row>
    <row r="22" spans="1:17">
      <c r="A22" s="6" t="s">
        <v>107</v>
      </c>
      <c r="D22" s="23"/>
      <c r="I22" s="31" t="s">
        <v>107</v>
      </c>
      <c r="J22" s="12"/>
      <c r="K22" s="12"/>
      <c r="L22" s="12"/>
      <c r="M22" s="12"/>
      <c r="N22" s="6"/>
      <c r="P22" s="30" t="s">
        <v>142</v>
      </c>
      <c r="Q22" s="23" t="s">
        <v>143</v>
      </c>
    </row>
    <row r="23" spans="1:17">
      <c r="P23" s="15"/>
    </row>
    <row r="24" spans="1:17">
      <c r="A24" s="21" t="s">
        <v>98</v>
      </c>
    </row>
    <row r="25" spans="1:17">
      <c r="A25" s="21" t="s">
        <v>147</v>
      </c>
    </row>
    <row r="26" spans="1:17">
      <c r="A26" s="2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topLeftCell="A35" zoomScale="136" zoomScaleNormal="136" workbookViewId="0">
      <selection activeCell="G7" sqref="G7"/>
    </sheetView>
  </sheetViews>
  <sheetFormatPr defaultRowHeight="14.5"/>
  <cols>
    <col min="4" max="4" width="10.54296875" customWidth="1"/>
  </cols>
  <sheetData>
    <row r="1" spans="1:16">
      <c r="A1" t="s">
        <v>181</v>
      </c>
    </row>
    <row r="2" spans="1:16">
      <c r="A2" t="s">
        <v>182</v>
      </c>
    </row>
    <row r="3" spans="1:16" ht="15.5">
      <c r="A3" s="93" t="s">
        <v>237</v>
      </c>
      <c r="B3" s="93"/>
      <c r="C3" s="93"/>
      <c r="D3" s="93"/>
      <c r="E3" s="93" t="s">
        <v>238</v>
      </c>
      <c r="F3" s="93"/>
      <c r="G3" s="93"/>
      <c r="H3" s="93"/>
    </row>
    <row r="4" spans="1:16" ht="15.5">
      <c r="A4" s="45"/>
      <c r="B4" s="46" t="s">
        <v>214</v>
      </c>
      <c r="C4" s="46" t="s">
        <v>215</v>
      </c>
      <c r="D4" s="46"/>
      <c r="E4" s="45"/>
      <c r="F4" s="46" t="s">
        <v>214</v>
      </c>
      <c r="G4" s="46" t="s">
        <v>215</v>
      </c>
      <c r="H4" s="46"/>
      <c r="J4" s="3" t="s">
        <v>212</v>
      </c>
      <c r="K4" s="3"/>
      <c r="L4" s="3"/>
      <c r="M4" s="3"/>
      <c r="N4" s="3"/>
      <c r="O4" s="3"/>
      <c r="P4" s="3"/>
    </row>
    <row r="5" spans="1:16" ht="15.5">
      <c r="A5" s="46" t="s">
        <v>183</v>
      </c>
      <c r="B5" s="47">
        <v>16</v>
      </c>
      <c r="C5" s="48">
        <v>6</v>
      </c>
      <c r="D5" s="46" t="s">
        <v>193</v>
      </c>
      <c r="E5" s="46" t="s">
        <v>183</v>
      </c>
      <c r="F5" s="47">
        <v>1.8</v>
      </c>
      <c r="G5" s="48">
        <v>2</v>
      </c>
      <c r="H5" s="46" t="s">
        <v>193</v>
      </c>
      <c r="J5" s="3" t="s">
        <v>213</v>
      </c>
      <c r="K5" s="3"/>
      <c r="L5" s="3"/>
      <c r="M5" s="3"/>
      <c r="N5" s="3"/>
      <c r="O5" s="3"/>
      <c r="P5" s="3"/>
    </row>
    <row r="6" spans="1:16" ht="15.5">
      <c r="A6" s="46" t="s">
        <v>184</v>
      </c>
      <c r="B6" s="47">
        <v>4</v>
      </c>
      <c r="C6" s="48">
        <v>14</v>
      </c>
      <c r="D6" s="46" t="s">
        <v>191</v>
      </c>
      <c r="E6" s="46" t="s">
        <v>184</v>
      </c>
      <c r="F6" s="47">
        <v>0.2</v>
      </c>
      <c r="G6" s="48">
        <v>0</v>
      </c>
      <c r="H6" s="46" t="s">
        <v>191</v>
      </c>
      <c r="J6" s="3" t="s">
        <v>216</v>
      </c>
      <c r="K6" s="3"/>
      <c r="L6" s="3"/>
      <c r="M6" s="3"/>
      <c r="N6" s="3"/>
      <c r="O6" s="3"/>
      <c r="P6" s="3"/>
    </row>
    <row r="7" spans="1:16" ht="15.5">
      <c r="A7" s="46"/>
      <c r="B7" s="48">
        <f>SUM(B5:B6)</f>
        <v>20</v>
      </c>
      <c r="C7" s="48">
        <f>SUM(C5:C6)</f>
        <v>20</v>
      </c>
      <c r="D7" s="46"/>
      <c r="E7" s="46"/>
      <c r="F7" s="48">
        <f>SUM(F5:F6)</f>
        <v>2</v>
      </c>
      <c r="G7" s="48">
        <f>SUM(G5:G6)</f>
        <v>2</v>
      </c>
      <c r="H7" s="46"/>
      <c r="J7" s="3" t="s">
        <v>217</v>
      </c>
      <c r="K7" s="3"/>
      <c r="L7" s="3"/>
      <c r="M7" s="3"/>
      <c r="N7" s="3"/>
      <c r="O7" s="3"/>
      <c r="P7" s="3"/>
    </row>
    <row r="8" spans="1:16">
      <c r="A8" t="s">
        <v>259</v>
      </c>
      <c r="J8" t="s">
        <v>231</v>
      </c>
    </row>
    <row r="9" spans="1:16">
      <c r="A9" t="s">
        <v>229</v>
      </c>
      <c r="J9" t="s">
        <v>232</v>
      </c>
    </row>
    <row r="10" spans="1:16">
      <c r="A10" t="s">
        <v>230</v>
      </c>
      <c r="J10" t="s">
        <v>233</v>
      </c>
    </row>
    <row r="11" spans="1:16">
      <c r="J11" t="s">
        <v>223</v>
      </c>
      <c r="K11" t="s">
        <v>255</v>
      </c>
    </row>
    <row r="12" spans="1:16" ht="15.5">
      <c r="A12" s="45"/>
      <c r="B12" s="46" t="s">
        <v>214</v>
      </c>
      <c r="C12" s="46" t="s">
        <v>215</v>
      </c>
      <c r="D12" s="46"/>
    </row>
    <row r="13" spans="1:16" ht="15.5">
      <c r="A13" s="46" t="s">
        <v>183</v>
      </c>
      <c r="B13" s="47">
        <f>B5+F5</f>
        <v>17.8</v>
      </c>
      <c r="C13" s="48">
        <f>C5+G5</f>
        <v>8</v>
      </c>
      <c r="D13" s="46" t="s">
        <v>193</v>
      </c>
    </row>
    <row r="14" spans="1:16" ht="15.5">
      <c r="A14" s="46" t="s">
        <v>184</v>
      </c>
      <c r="B14" s="47">
        <f>B6+F6</f>
        <v>4.2</v>
      </c>
      <c r="C14" s="48">
        <f>C6+G6</f>
        <v>14</v>
      </c>
      <c r="D14" s="46" t="s">
        <v>191</v>
      </c>
    </row>
    <row r="15" spans="1:16" ht="15.5">
      <c r="A15" s="46"/>
      <c r="B15" s="48">
        <f>SUM(B13:B14)</f>
        <v>22</v>
      </c>
      <c r="C15" s="48">
        <f>SUM(C13:C14)</f>
        <v>22</v>
      </c>
      <c r="D15" s="46"/>
    </row>
    <row r="17" spans="1:16">
      <c r="A17" s="49" t="s">
        <v>258</v>
      </c>
    </row>
    <row r="18" spans="1:16">
      <c r="A18" t="s">
        <v>234</v>
      </c>
    </row>
    <row r="19" spans="1:16">
      <c r="A19" t="s">
        <v>235</v>
      </c>
    </row>
    <row r="20" spans="1:16">
      <c r="B20" t="s">
        <v>236</v>
      </c>
      <c r="C20">
        <v>3.6</v>
      </c>
    </row>
    <row r="22" spans="1:16" ht="15.5">
      <c r="A22" s="3"/>
      <c r="B22" s="3"/>
      <c r="C22" s="3"/>
      <c r="D22" s="3"/>
      <c r="E22" s="3"/>
      <c r="F22" s="3"/>
      <c r="G22" s="3"/>
      <c r="H22" s="3"/>
      <c r="I22" s="3"/>
      <c r="J22" s="3"/>
      <c r="K22" s="3"/>
      <c r="L22" s="3"/>
      <c r="M22" s="3"/>
      <c r="N22" s="3"/>
      <c r="O22" s="3"/>
      <c r="P22" s="3"/>
    </row>
    <row r="23" spans="1:16" ht="15.5">
      <c r="A23" s="3"/>
      <c r="B23" s="3"/>
      <c r="G23" t="s">
        <v>244</v>
      </c>
      <c r="I23" s="3"/>
      <c r="J23" s="3"/>
      <c r="K23" s="3"/>
      <c r="L23" s="3"/>
      <c r="M23" s="3"/>
      <c r="N23" s="3"/>
      <c r="O23" s="3"/>
      <c r="P23" s="3"/>
    </row>
    <row r="24" spans="1:16" ht="15.5">
      <c r="A24" s="3"/>
      <c r="B24" s="43" t="s">
        <v>239</v>
      </c>
      <c r="D24">
        <f>C20</f>
        <v>3.6</v>
      </c>
      <c r="G24" t="s">
        <v>243</v>
      </c>
      <c r="I24" s="3"/>
      <c r="J24" s="3"/>
      <c r="K24" s="3"/>
      <c r="L24" s="3"/>
      <c r="M24" s="3"/>
      <c r="N24" s="3"/>
      <c r="O24" s="3"/>
      <c r="P24" s="3"/>
    </row>
    <row r="25" spans="1:16" ht="15.5">
      <c r="A25" s="3"/>
      <c r="B25" s="3" t="s">
        <v>240</v>
      </c>
      <c r="D25">
        <f>F6</f>
        <v>0.2</v>
      </c>
      <c r="G25" t="s">
        <v>245</v>
      </c>
      <c r="I25" s="3"/>
      <c r="J25" s="3"/>
      <c r="K25" s="3"/>
      <c r="L25" s="3"/>
      <c r="M25" s="3"/>
      <c r="N25" s="3"/>
      <c r="O25" s="3"/>
      <c r="P25" s="3"/>
    </row>
    <row r="26" spans="1:16" ht="15.5">
      <c r="A26" s="3"/>
      <c r="B26" t="s">
        <v>241</v>
      </c>
      <c r="D26">
        <f>D24-D25</f>
        <v>3.4</v>
      </c>
      <c r="G26" t="s">
        <v>246</v>
      </c>
      <c r="I26" s="3"/>
      <c r="J26" s="3"/>
      <c r="K26" s="3"/>
      <c r="L26" s="3"/>
      <c r="M26" s="3"/>
      <c r="N26" s="3"/>
      <c r="O26" s="3"/>
      <c r="P26" s="3"/>
    </row>
    <row r="27" spans="1:16" ht="15.5">
      <c r="A27" s="3"/>
      <c r="B27" t="s">
        <v>222</v>
      </c>
      <c r="D27">
        <f>F5</f>
        <v>1.8</v>
      </c>
      <c r="G27" s="49" t="s">
        <v>247</v>
      </c>
      <c r="I27" s="3"/>
      <c r="J27" s="3"/>
      <c r="K27" s="3"/>
      <c r="L27" s="3"/>
      <c r="M27" s="3"/>
      <c r="N27" s="3"/>
      <c r="O27" s="3"/>
      <c r="P27" s="3"/>
    </row>
    <row r="28" spans="1:16" ht="15.5">
      <c r="A28" s="3"/>
      <c r="B28" t="s">
        <v>223</v>
      </c>
      <c r="D28">
        <f>D26-D27</f>
        <v>1.5999999999999999</v>
      </c>
      <c r="G28" s="49" t="s">
        <v>248</v>
      </c>
      <c r="I28" s="3"/>
      <c r="J28" s="3"/>
      <c r="K28" s="3"/>
      <c r="L28" s="3"/>
      <c r="M28" s="3"/>
      <c r="N28" s="3"/>
      <c r="O28" s="3"/>
      <c r="P28" s="3"/>
    </row>
    <row r="29" spans="1:16" ht="15.5">
      <c r="A29" s="3"/>
      <c r="G29" s="49" t="s">
        <v>249</v>
      </c>
      <c r="I29" s="3"/>
      <c r="J29" s="3"/>
      <c r="K29" s="3"/>
      <c r="L29" s="3"/>
      <c r="M29" s="3"/>
      <c r="N29" s="3"/>
      <c r="O29" s="3"/>
      <c r="P29" s="3"/>
    </row>
    <row r="30" spans="1:16" ht="15.5">
      <c r="A30" s="3"/>
      <c r="B30" t="s">
        <v>224</v>
      </c>
      <c r="G30" s="49" t="s">
        <v>250</v>
      </c>
      <c r="I30" s="3"/>
      <c r="J30" s="3"/>
      <c r="K30" s="3"/>
      <c r="L30" s="3"/>
      <c r="M30" s="3"/>
      <c r="N30" s="3"/>
      <c r="O30" s="3"/>
      <c r="P30" s="3"/>
    </row>
    <row r="31" spans="1:16" ht="15.5">
      <c r="A31" s="45" t="s">
        <v>242</v>
      </c>
      <c r="B31" s="12"/>
      <c r="C31" s="46" t="s">
        <v>256</v>
      </c>
      <c r="D31" s="46" t="s">
        <v>257</v>
      </c>
      <c r="E31" s="46"/>
      <c r="I31" s="3"/>
      <c r="J31" s="3"/>
      <c r="K31" s="3"/>
      <c r="L31" s="3"/>
      <c r="M31" s="3"/>
      <c r="N31" s="3"/>
      <c r="O31" s="3"/>
      <c r="P31" s="3"/>
    </row>
    <row r="32" spans="1:16" ht="15.5">
      <c r="A32" s="3"/>
      <c r="B32" s="46" t="s">
        <v>183</v>
      </c>
      <c r="C32" s="47">
        <f>B5+D27+D28</f>
        <v>19.400000000000002</v>
      </c>
      <c r="D32" s="48">
        <f>C5+C20</f>
        <v>9.6</v>
      </c>
      <c r="E32" s="46" t="s">
        <v>193</v>
      </c>
      <c r="F32" t="s">
        <v>225</v>
      </c>
      <c r="I32" s="3"/>
      <c r="J32" s="3"/>
      <c r="K32" s="3"/>
      <c r="L32" s="3"/>
      <c r="M32" s="3"/>
      <c r="N32" s="3"/>
      <c r="O32" s="3"/>
      <c r="P32" s="3"/>
    </row>
    <row r="33" spans="1:16" ht="15.5">
      <c r="A33" s="3"/>
      <c r="B33" s="46" t="s">
        <v>184</v>
      </c>
      <c r="C33" s="47">
        <f>B6+F6</f>
        <v>4.2</v>
      </c>
      <c r="D33" s="48">
        <f>D34-D32</f>
        <v>14.000000000000002</v>
      </c>
      <c r="E33" s="46" t="s">
        <v>191</v>
      </c>
      <c r="F33" t="s">
        <v>226</v>
      </c>
      <c r="I33" s="3"/>
      <c r="J33" s="3"/>
      <c r="K33" s="3"/>
      <c r="L33" s="3"/>
      <c r="M33" s="3"/>
      <c r="N33" s="3"/>
      <c r="O33" s="3"/>
      <c r="P33" s="3"/>
    </row>
    <row r="34" spans="1:16" ht="15.5">
      <c r="A34" s="3"/>
      <c r="B34" s="46"/>
      <c r="C34" s="48">
        <f>SUM(C32:C33)</f>
        <v>23.6</v>
      </c>
      <c r="D34" s="48">
        <f>C34</f>
        <v>23.6</v>
      </c>
      <c r="E34" s="46"/>
      <c r="F34" t="s">
        <v>227</v>
      </c>
      <c r="I34" s="44"/>
      <c r="J34" s="44"/>
      <c r="K34" s="3"/>
      <c r="L34" s="3"/>
      <c r="M34" s="3"/>
      <c r="N34" s="3"/>
      <c r="O34" s="3"/>
      <c r="P34" s="3"/>
    </row>
    <row r="35" spans="1:16" ht="15.5">
      <c r="A35" s="3"/>
      <c r="F35" t="s">
        <v>228</v>
      </c>
      <c r="I35" s="44"/>
      <c r="J35" s="44"/>
      <c r="K35" s="3"/>
      <c r="L35" s="3"/>
      <c r="M35" s="3"/>
      <c r="N35" s="3"/>
      <c r="O35" s="3"/>
      <c r="P35" s="3"/>
    </row>
    <row r="36" spans="1:16" ht="15.5">
      <c r="A36" s="3"/>
      <c r="B36" s="3"/>
      <c r="C36" s="3"/>
      <c r="D36" s="44"/>
      <c r="E36" s="3"/>
      <c r="F36" s="3"/>
      <c r="G36" s="3"/>
      <c r="H36" s="3"/>
      <c r="I36" s="3"/>
      <c r="J36" s="3"/>
      <c r="K36" s="3"/>
      <c r="L36" s="3"/>
      <c r="M36" s="3"/>
      <c r="N36" s="3"/>
      <c r="O36" s="3"/>
      <c r="P36" s="3"/>
    </row>
    <row r="37" spans="1:16" ht="15.5">
      <c r="A37" s="3"/>
      <c r="B37" s="3"/>
      <c r="C37" s="3"/>
      <c r="D37" s="3"/>
      <c r="E37" s="3"/>
      <c r="F37" s="3"/>
      <c r="G37" s="3" t="s">
        <v>251</v>
      </c>
      <c r="H37" s="3"/>
      <c r="I37" s="3"/>
      <c r="J37" s="3"/>
      <c r="K37" s="3"/>
      <c r="L37" s="3"/>
      <c r="M37" s="3"/>
      <c r="N37" s="3"/>
      <c r="O37" s="3"/>
      <c r="P37" s="3"/>
    </row>
    <row r="38" spans="1:16" ht="15.5">
      <c r="A38" s="3"/>
      <c r="B38" s="43"/>
      <c r="C38" s="3"/>
      <c r="D38" s="3"/>
      <c r="E38" s="3"/>
      <c r="F38" s="3"/>
      <c r="G38" s="3" t="s">
        <v>252</v>
      </c>
      <c r="H38" s="3"/>
      <c r="I38" s="3"/>
      <c r="J38" s="3"/>
      <c r="K38" s="3"/>
      <c r="L38" s="3"/>
      <c r="M38" s="3"/>
      <c r="N38" s="3"/>
      <c r="O38" s="3"/>
      <c r="P38" s="3"/>
    </row>
    <row r="39" spans="1:16" ht="15.5">
      <c r="A39" s="3"/>
      <c r="B39" s="3"/>
      <c r="C39" s="3"/>
      <c r="D39" s="44"/>
      <c r="E39" s="3"/>
      <c r="F39" s="3"/>
      <c r="G39" s="3" t="s">
        <v>253</v>
      </c>
      <c r="H39" s="3"/>
      <c r="I39" s="3"/>
      <c r="J39" s="3"/>
      <c r="K39" s="3"/>
      <c r="L39" s="3"/>
      <c r="M39" s="3"/>
      <c r="N39" s="3"/>
      <c r="O39" s="3"/>
      <c r="P39" s="3"/>
    </row>
    <row r="40" spans="1:16" ht="15.5">
      <c r="A40" s="3"/>
      <c r="B40" s="3" t="s">
        <v>254</v>
      </c>
      <c r="C40" s="3"/>
      <c r="D40" s="44"/>
      <c r="E40" s="3"/>
      <c r="F40" s="3"/>
      <c r="G40" s="3"/>
      <c r="H40" s="3"/>
      <c r="I40" s="3"/>
      <c r="J40" s="3"/>
      <c r="K40" s="3"/>
      <c r="L40" s="3"/>
      <c r="M40" s="3"/>
      <c r="N40" s="3"/>
      <c r="O40" s="3"/>
      <c r="P40" s="3"/>
    </row>
    <row r="41" spans="1:16" ht="15.5">
      <c r="A41" s="3"/>
      <c r="B41" s="3" t="s">
        <v>260</v>
      </c>
      <c r="C41" s="3"/>
      <c r="D41" s="3"/>
      <c r="E41" s="3"/>
      <c r="F41" s="3"/>
      <c r="G41" s="3"/>
      <c r="H41" s="3"/>
      <c r="I41" s="3"/>
      <c r="J41" s="3"/>
      <c r="K41" s="3"/>
      <c r="L41" s="3"/>
      <c r="M41" s="3"/>
      <c r="N41" s="3"/>
      <c r="O41" s="3"/>
      <c r="P41" s="3"/>
    </row>
    <row r="58" spans="1:1" ht="25">
      <c r="A58" s="42" t="s">
        <v>211</v>
      </c>
    </row>
    <row r="59" spans="1:1">
      <c r="A59" s="6" t="s">
        <v>194</v>
      </c>
    </row>
    <row r="60" spans="1:1">
      <c r="A60" s="6" t="s">
        <v>195</v>
      </c>
    </row>
    <row r="61" spans="1:1">
      <c r="A61" s="6" t="s">
        <v>196</v>
      </c>
    </row>
    <row r="62" spans="1:1">
      <c r="A62" s="14" t="s">
        <v>197</v>
      </c>
    </row>
    <row r="63" spans="1:1">
      <c r="A63" s="6" t="s">
        <v>198</v>
      </c>
    </row>
    <row r="64" spans="1:1">
      <c r="A64" s="6" t="s">
        <v>199</v>
      </c>
    </row>
    <row r="65" spans="1:1">
      <c r="A65" s="6" t="s">
        <v>200</v>
      </c>
    </row>
    <row r="67" spans="1:1">
      <c r="A67" s="6" t="s">
        <v>201</v>
      </c>
    </row>
    <row r="68" spans="1:1">
      <c r="A68" s="6" t="s">
        <v>202</v>
      </c>
    </row>
    <row r="69" spans="1:1">
      <c r="A69" s="6" t="s">
        <v>203</v>
      </c>
    </row>
    <row r="70" spans="1:1">
      <c r="A70" s="6" t="s">
        <v>204</v>
      </c>
    </row>
    <row r="71" spans="1:1">
      <c r="A71" s="6" t="s">
        <v>205</v>
      </c>
    </row>
    <row r="72" spans="1:1">
      <c r="A72" s="6" t="s">
        <v>206</v>
      </c>
    </row>
    <row r="73" spans="1:1">
      <c r="A73" s="6" t="s">
        <v>207</v>
      </c>
    </row>
    <row r="74" spans="1:1">
      <c r="A74" s="6" t="s">
        <v>208</v>
      </c>
    </row>
    <row r="75" spans="1:1">
      <c r="A75" s="6" t="s">
        <v>209</v>
      </c>
    </row>
    <row r="76" spans="1:1">
      <c r="A76" s="6" t="s">
        <v>210</v>
      </c>
    </row>
    <row r="77" spans="1:1">
      <c r="A77" s="28" t="s">
        <v>192</v>
      </c>
    </row>
    <row r="78" spans="1:1">
      <c r="A78" s="6" t="s">
        <v>188</v>
      </c>
    </row>
    <row r="79" spans="1:1">
      <c r="A79" s="6" t="s">
        <v>189</v>
      </c>
    </row>
    <row r="80" spans="1:1">
      <c r="A80" s="6" t="s">
        <v>190</v>
      </c>
    </row>
    <row r="81" spans="1:1">
      <c r="A81" s="6" t="s">
        <v>167</v>
      </c>
    </row>
  </sheetData>
  <mergeCells count="2">
    <mergeCell ref="A3:D3"/>
    <mergeCell ref="E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5" zoomScale="148" zoomScaleNormal="148" workbookViewId="0">
      <selection activeCell="D8" sqref="D8"/>
    </sheetView>
  </sheetViews>
  <sheetFormatPr defaultRowHeight="14.5"/>
  <cols>
    <col min="1" max="1" width="11" customWidth="1"/>
  </cols>
  <sheetData>
    <row r="1" spans="1:12" ht="50.25" customHeight="1">
      <c r="A1" s="92" t="s">
        <v>280</v>
      </c>
      <c r="B1" s="92"/>
      <c r="C1" s="92"/>
      <c r="D1" s="92"/>
      <c r="E1" s="92"/>
      <c r="F1" s="92"/>
      <c r="G1" s="92"/>
      <c r="H1" s="92"/>
      <c r="I1" s="92"/>
      <c r="J1" s="92"/>
      <c r="L1" t="s">
        <v>380</v>
      </c>
    </row>
    <row r="2" spans="1:12" ht="48" customHeight="1">
      <c r="A2" s="92" t="s">
        <v>284</v>
      </c>
      <c r="B2" s="92"/>
      <c r="C2" s="92"/>
      <c r="D2" s="92"/>
      <c r="E2" s="92"/>
      <c r="F2" s="92"/>
      <c r="G2" s="92"/>
      <c r="H2" s="92"/>
      <c r="I2" s="92"/>
      <c r="J2" s="92"/>
    </row>
    <row r="4" spans="1:12">
      <c r="A4" t="s">
        <v>281</v>
      </c>
      <c r="B4">
        <v>27.3</v>
      </c>
    </row>
    <row r="5" spans="1:12">
      <c r="A5" t="s">
        <v>282</v>
      </c>
      <c r="B5" s="11">
        <v>0.25</v>
      </c>
      <c r="C5" s="11">
        <v>0.32</v>
      </c>
      <c r="D5" t="s">
        <v>283</v>
      </c>
    </row>
    <row r="25" spans="1:10">
      <c r="A25" s="6" t="s">
        <v>285</v>
      </c>
      <c r="H25" t="s">
        <v>282</v>
      </c>
      <c r="J25" s="11">
        <v>0.25</v>
      </c>
    </row>
    <row r="26" spans="1:10">
      <c r="A26" s="7" t="s">
        <v>261</v>
      </c>
      <c r="H26" t="s">
        <v>362</v>
      </c>
    </row>
    <row r="27" spans="1:10">
      <c r="A27" s="6" t="s">
        <v>262</v>
      </c>
      <c r="H27" t="s">
        <v>363</v>
      </c>
    </row>
    <row r="28" spans="1:10">
      <c r="A28" s="6" t="s">
        <v>263</v>
      </c>
    </row>
    <row r="30" spans="1:10">
      <c r="A30" s="14" t="s">
        <v>265</v>
      </c>
      <c r="B30" t="s">
        <v>266</v>
      </c>
      <c r="C30" t="s">
        <v>268</v>
      </c>
      <c r="D30" s="14" t="s">
        <v>264</v>
      </c>
    </row>
    <row r="31" spans="1:10">
      <c r="A31" s="14"/>
      <c r="C31" s="14" t="s">
        <v>269</v>
      </c>
      <c r="D31" t="s">
        <v>270</v>
      </c>
    </row>
    <row r="32" spans="1:10">
      <c r="A32">
        <v>1</v>
      </c>
      <c r="B32" s="50">
        <f>B4</f>
        <v>27.3</v>
      </c>
      <c r="C32" s="51">
        <f>B32*B$5</f>
        <v>6.8250000000000002</v>
      </c>
      <c r="D32" s="51">
        <f>C32*C$5</f>
        <v>2.1840000000000002</v>
      </c>
    </row>
    <row r="33" spans="1:4">
      <c r="A33">
        <v>2</v>
      </c>
      <c r="B33" s="50">
        <f>B32-C32</f>
        <v>20.475000000000001</v>
      </c>
      <c r="C33" s="51">
        <f>B33*B$5</f>
        <v>5.1187500000000004</v>
      </c>
      <c r="D33" s="51">
        <f t="shared" ref="D33:D35" si="0">C33*C$5</f>
        <v>1.6380000000000001</v>
      </c>
    </row>
    <row r="34" spans="1:4">
      <c r="A34">
        <v>3</v>
      </c>
      <c r="B34" s="50">
        <f t="shared" ref="B34:B35" si="1">B33-C33</f>
        <v>15.356250000000001</v>
      </c>
      <c r="C34" s="51">
        <f t="shared" ref="C34:C35" si="2">B34*B$5</f>
        <v>3.8390625000000003</v>
      </c>
      <c r="D34" s="51">
        <f t="shared" si="0"/>
        <v>1.2285000000000001</v>
      </c>
    </row>
    <row r="35" spans="1:4">
      <c r="A35">
        <v>4</v>
      </c>
      <c r="B35" s="50">
        <f t="shared" si="1"/>
        <v>11.5171875</v>
      </c>
      <c r="C35" s="51">
        <f t="shared" si="2"/>
        <v>2.8792968750000001</v>
      </c>
      <c r="D35" s="53">
        <f t="shared" si="0"/>
        <v>0.92137500000000006</v>
      </c>
    </row>
    <row r="37" spans="1:4">
      <c r="A37" s="6" t="s">
        <v>271</v>
      </c>
    </row>
    <row r="38" spans="1:4">
      <c r="A38" s="6" t="s">
        <v>272</v>
      </c>
    </row>
    <row r="39" spans="1:4">
      <c r="A39" s="6"/>
    </row>
    <row r="40" spans="1:4">
      <c r="B40" s="14" t="s">
        <v>278</v>
      </c>
      <c r="C40" t="s">
        <v>279</v>
      </c>
    </row>
    <row r="41" spans="1:4">
      <c r="A41" s="14"/>
    </row>
    <row r="42" spans="1:4">
      <c r="A42" s="6" t="s">
        <v>273</v>
      </c>
      <c r="B42">
        <v>10</v>
      </c>
      <c r="C42">
        <f>B42</f>
        <v>10</v>
      </c>
    </row>
    <row r="43" spans="1:4">
      <c r="A43" s="6" t="s">
        <v>274</v>
      </c>
      <c r="B43">
        <v>2.88</v>
      </c>
      <c r="C43">
        <v>0</v>
      </c>
    </row>
    <row r="44" spans="1:4">
      <c r="A44" s="6" t="s">
        <v>275</v>
      </c>
      <c r="B44">
        <f>B42-B43</f>
        <v>7.12</v>
      </c>
      <c r="C44">
        <f>C42-C43</f>
        <v>10</v>
      </c>
    </row>
    <row r="45" spans="1:4">
      <c r="A45" s="28" t="s">
        <v>276</v>
      </c>
      <c r="B45">
        <f>32%*B44</f>
        <v>2.2784</v>
      </c>
      <c r="C45">
        <f>32%*C44</f>
        <v>3.2</v>
      </c>
    </row>
    <row r="46" spans="1:4">
      <c r="A46" s="6" t="s">
        <v>277</v>
      </c>
      <c r="B46">
        <f>C45-B45</f>
        <v>0.9216000000000002</v>
      </c>
    </row>
  </sheetData>
  <mergeCells count="2">
    <mergeCell ref="A1:J1"/>
    <mergeCell ref="A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
  <sheetViews>
    <sheetView topLeftCell="A5" zoomScale="120" zoomScaleNormal="120" workbookViewId="0">
      <selection activeCell="C9" sqref="C9"/>
    </sheetView>
  </sheetViews>
  <sheetFormatPr defaultRowHeight="14.5"/>
  <cols>
    <col min="1" max="1" width="29.90625" customWidth="1"/>
    <col min="9" max="9" width="43.90625" customWidth="1"/>
    <col min="15" max="15" width="18.7265625" customWidth="1"/>
  </cols>
  <sheetData>
    <row r="1" spans="2:17" ht="26">
      <c r="B1" s="74" t="s">
        <v>371</v>
      </c>
      <c r="C1" s="3"/>
      <c r="D1" s="3"/>
      <c r="E1" s="3"/>
      <c r="F1" s="3"/>
      <c r="G1" s="3"/>
      <c r="H1" s="3"/>
      <c r="J1" s="37" t="s">
        <v>31</v>
      </c>
      <c r="K1" s="37"/>
      <c r="L1" s="37"/>
      <c r="M1" s="37"/>
      <c r="N1" s="37"/>
      <c r="O1" s="37"/>
      <c r="P1" s="37"/>
      <c r="Q1" s="37"/>
    </row>
    <row r="2" spans="2:17" ht="26">
      <c r="B2" s="44"/>
      <c r="C2" s="3"/>
      <c r="D2" s="3"/>
      <c r="E2" s="3"/>
      <c r="F2" s="3"/>
      <c r="G2" s="3"/>
      <c r="H2" s="3"/>
      <c r="J2" s="37"/>
      <c r="K2" s="37"/>
      <c r="L2" s="37"/>
      <c r="M2" s="37"/>
      <c r="N2" s="37"/>
      <c r="O2" s="37"/>
      <c r="P2" s="37"/>
      <c r="Q2" s="37"/>
    </row>
    <row r="3" spans="2:17" ht="26">
      <c r="B3" s="75" t="s">
        <v>28</v>
      </c>
      <c r="C3" s="76"/>
      <c r="D3" s="76"/>
      <c r="E3" s="76"/>
      <c r="F3" s="76"/>
      <c r="G3" s="76" t="s">
        <v>29</v>
      </c>
      <c r="H3" s="3"/>
      <c r="J3" s="38" t="s">
        <v>32</v>
      </c>
      <c r="K3" s="38"/>
      <c r="L3" s="38"/>
      <c r="M3" s="38"/>
      <c r="N3" s="38"/>
      <c r="O3" s="38" t="s">
        <v>29</v>
      </c>
      <c r="P3" s="37"/>
      <c r="Q3" s="37"/>
    </row>
    <row r="4" spans="2:17" ht="26">
      <c r="B4" s="75">
        <v>1</v>
      </c>
      <c r="C4" s="76">
        <v>2</v>
      </c>
      <c r="D4" s="75">
        <v>3</v>
      </c>
      <c r="E4" s="76">
        <v>4</v>
      </c>
      <c r="F4" s="75">
        <v>5</v>
      </c>
      <c r="G4" s="76"/>
      <c r="H4" s="3"/>
      <c r="J4" s="38">
        <f>B4</f>
        <v>1</v>
      </c>
      <c r="K4" s="38">
        <f t="shared" ref="K4:O5" si="0">C4</f>
        <v>2</v>
      </c>
      <c r="L4" s="38">
        <f t="shared" si="0"/>
        <v>3</v>
      </c>
      <c r="M4" s="38">
        <f t="shared" si="0"/>
        <v>4</v>
      </c>
      <c r="N4" s="38">
        <f t="shared" si="0"/>
        <v>5</v>
      </c>
      <c r="O4" s="38"/>
      <c r="P4" s="37"/>
      <c r="Q4" s="37"/>
    </row>
    <row r="5" spans="2:17" ht="26">
      <c r="B5" s="77">
        <v>-200</v>
      </c>
      <c r="C5" s="78">
        <v>20</v>
      </c>
      <c r="D5" s="79">
        <v>70</v>
      </c>
      <c r="E5" s="79">
        <v>50</v>
      </c>
      <c r="F5" s="79">
        <v>90</v>
      </c>
      <c r="G5" s="79">
        <v>450</v>
      </c>
      <c r="H5" s="3"/>
      <c r="J5" s="38">
        <f>B5</f>
        <v>-200</v>
      </c>
      <c r="K5" s="38">
        <f t="shared" si="0"/>
        <v>20</v>
      </c>
      <c r="L5" s="38">
        <f t="shared" si="0"/>
        <v>70</v>
      </c>
      <c r="M5" s="38">
        <f t="shared" si="0"/>
        <v>50</v>
      </c>
      <c r="N5" s="38">
        <f t="shared" si="0"/>
        <v>90</v>
      </c>
      <c r="O5" s="38">
        <f t="shared" si="0"/>
        <v>450</v>
      </c>
      <c r="P5" s="37"/>
      <c r="Q5" s="37"/>
    </row>
    <row r="6" spans="2:17" ht="26">
      <c r="B6" s="3"/>
      <c r="C6" s="3"/>
      <c r="D6" s="3"/>
      <c r="E6" s="3"/>
      <c r="F6" s="3"/>
      <c r="G6" s="3"/>
      <c r="H6" s="3"/>
      <c r="J6" s="37"/>
      <c r="K6" s="37"/>
      <c r="L6" s="37"/>
      <c r="M6" s="37"/>
      <c r="N6" s="37"/>
      <c r="O6" s="37"/>
      <c r="P6" s="37"/>
      <c r="Q6" s="37"/>
    </row>
    <row r="7" spans="2:17" ht="26">
      <c r="B7" s="44" t="s">
        <v>372</v>
      </c>
      <c r="C7" s="3"/>
      <c r="D7" s="3"/>
      <c r="E7" s="3"/>
      <c r="F7" s="3"/>
      <c r="G7" s="3"/>
      <c r="H7" s="3"/>
      <c r="J7" s="37" t="s">
        <v>33</v>
      </c>
      <c r="K7" s="37"/>
      <c r="L7" s="37"/>
      <c r="M7" s="37"/>
      <c r="N7" s="37"/>
      <c r="O7" s="37"/>
      <c r="P7" s="37"/>
      <c r="Q7" s="37"/>
    </row>
    <row r="8" spans="2:17">
      <c r="B8" s="1"/>
    </row>
    <row r="9" spans="2:17">
      <c r="B9" t="s">
        <v>30</v>
      </c>
      <c r="C9" s="13"/>
    </row>
    <row r="10" spans="2:17">
      <c r="B10" s="1"/>
    </row>
    <row r="11" spans="2:17">
      <c r="B11" s="1"/>
    </row>
    <row r="12" spans="2:17">
      <c r="B12" s="1"/>
    </row>
    <row r="13" spans="2:17">
      <c r="B13" s="1"/>
    </row>
    <row r="15" spans="2:17" ht="50.5" customHeight="1"/>
    <row r="16" spans="2:17">
      <c r="B16" s="81"/>
      <c r="C16" s="81"/>
      <c r="D16" s="81"/>
    </row>
    <row r="17" spans="2:4">
      <c r="B17" s="81"/>
      <c r="C17" s="81"/>
      <c r="D17" s="8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24"/>
  <sheetViews>
    <sheetView topLeftCell="H9" zoomScale="216" zoomScaleNormal="216" workbookViewId="0">
      <selection activeCell="G23" sqref="G23"/>
    </sheetView>
  </sheetViews>
  <sheetFormatPr defaultRowHeight="14.5"/>
  <cols>
    <col min="2" max="2" width="11.26953125" customWidth="1"/>
    <col min="3" max="3" width="17.54296875" customWidth="1"/>
    <col min="7" max="7" width="7.1796875" customWidth="1"/>
    <col min="9" max="9" width="5.90625" customWidth="1"/>
  </cols>
  <sheetData>
    <row r="1" spans="3:22" ht="54.5" customHeight="1">
      <c r="C1" s="10" t="s">
        <v>374</v>
      </c>
      <c r="I1" t="s">
        <v>379</v>
      </c>
      <c r="J1" s="94" t="s">
        <v>70</v>
      </c>
      <c r="K1" s="94"/>
      <c r="L1" s="94"/>
      <c r="M1" s="94"/>
      <c r="N1" s="94"/>
      <c r="O1" s="94"/>
      <c r="P1" s="94"/>
      <c r="Q1" s="94"/>
      <c r="R1" s="94"/>
      <c r="S1" s="94"/>
      <c r="T1" s="94"/>
      <c r="U1" s="94"/>
      <c r="V1" s="39"/>
    </row>
    <row r="2" spans="3:22">
      <c r="C2" s="1" t="s">
        <v>375</v>
      </c>
      <c r="J2" t="s">
        <v>66</v>
      </c>
      <c r="K2" s="11">
        <v>0.4</v>
      </c>
    </row>
    <row r="3" spans="3:22">
      <c r="C3" s="1" t="s">
        <v>62</v>
      </c>
      <c r="J3" t="s">
        <v>67</v>
      </c>
      <c r="K3">
        <v>120</v>
      </c>
      <c r="L3" t="s">
        <v>68</v>
      </c>
    </row>
    <row r="4" spans="3:22">
      <c r="C4" s="1" t="s">
        <v>63</v>
      </c>
      <c r="J4" t="s">
        <v>69</v>
      </c>
      <c r="K4" s="22">
        <v>6.2E-2</v>
      </c>
    </row>
    <row r="5" spans="3:22">
      <c r="C5" s="1" t="s">
        <v>64</v>
      </c>
    </row>
    <row r="6" spans="3:22">
      <c r="C6" s="1" t="s">
        <v>65</v>
      </c>
    </row>
    <row r="15" spans="3:22">
      <c r="C15" s="5" t="s">
        <v>34</v>
      </c>
      <c r="J15" t="s">
        <v>71</v>
      </c>
    </row>
    <row r="16" spans="3:22">
      <c r="C16" s="7" t="s">
        <v>35</v>
      </c>
      <c r="J16">
        <f>K3*K4</f>
        <v>7.4399999999999995</v>
      </c>
      <c r="K16" t="s">
        <v>79</v>
      </c>
    </row>
    <row r="17" spans="3:10">
      <c r="C17" s="6" t="s">
        <v>36</v>
      </c>
      <c r="J17" t="s">
        <v>80</v>
      </c>
    </row>
    <row r="18" spans="3:10">
      <c r="C18" s="6" t="s">
        <v>37</v>
      </c>
      <c r="J18">
        <f>J16*K2</f>
        <v>2.976</v>
      </c>
    </row>
    <row r="19" spans="3:10">
      <c r="D19" s="24" t="s">
        <v>72</v>
      </c>
      <c r="E19" s="25" t="s">
        <v>73</v>
      </c>
    </row>
    <row r="20" spans="3:10">
      <c r="C20" s="6" t="s">
        <v>74</v>
      </c>
      <c r="D20">
        <v>20</v>
      </c>
      <c r="E20">
        <v>20</v>
      </c>
    </row>
    <row r="21" spans="3:10">
      <c r="C21" s="6" t="s">
        <v>75</v>
      </c>
      <c r="E21">
        <f>K3*K4</f>
        <v>7.4399999999999995</v>
      </c>
      <c r="F21" t="s">
        <v>79</v>
      </c>
    </row>
    <row r="22" spans="3:10">
      <c r="C22" s="6" t="s">
        <v>76</v>
      </c>
      <c r="D22">
        <v>20</v>
      </c>
      <c r="E22">
        <f>E20-E21</f>
        <v>12.56</v>
      </c>
    </row>
    <row r="23" spans="3:10">
      <c r="C23" s="6" t="s">
        <v>77</v>
      </c>
      <c r="D23">
        <f>$K$2*D22</f>
        <v>8</v>
      </c>
      <c r="E23">
        <f>$K$2*E22</f>
        <v>5.0240000000000009</v>
      </c>
      <c r="F23" s="23" t="s">
        <v>81</v>
      </c>
      <c r="G23" s="23"/>
      <c r="H23" s="26"/>
    </row>
    <row r="24" spans="3:10">
      <c r="C24" s="6" t="s">
        <v>78</v>
      </c>
      <c r="D24">
        <f>D22-D23</f>
        <v>12</v>
      </c>
      <c r="E24">
        <f>E22-E23</f>
        <v>7.5359999999999996</v>
      </c>
    </row>
  </sheetData>
  <mergeCells count="1">
    <mergeCell ref="J1:U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3"/>
  <sheetViews>
    <sheetView topLeftCell="A8" workbookViewId="0">
      <selection activeCell="B19" sqref="B19:B21"/>
    </sheetView>
  </sheetViews>
  <sheetFormatPr defaultRowHeight="14.5"/>
  <cols>
    <col min="1" max="1" width="27.90625" customWidth="1"/>
    <col min="3" max="3" width="24.54296875" bestFit="1" customWidth="1"/>
  </cols>
  <sheetData>
    <row r="1" spans="2:11" ht="137.5" customHeight="1">
      <c r="B1" s="95" t="s">
        <v>376</v>
      </c>
      <c r="C1" s="95"/>
      <c r="D1" s="95"/>
      <c r="E1" s="95"/>
      <c r="F1" s="95"/>
      <c r="G1" s="95"/>
      <c r="H1" s="95"/>
      <c r="I1" s="95"/>
      <c r="K1" t="s">
        <v>380</v>
      </c>
    </row>
    <row r="2" spans="2:11" ht="174" customHeight="1">
      <c r="B2" s="96" t="s">
        <v>154</v>
      </c>
      <c r="C2" s="96"/>
      <c r="D2" s="96"/>
      <c r="E2" s="96"/>
      <c r="F2" s="96"/>
      <c r="G2" s="96"/>
      <c r="H2" s="96"/>
      <c r="I2" s="96"/>
    </row>
    <row r="3" spans="2:11" ht="152.25" customHeight="1"/>
    <row r="4" spans="2:11">
      <c r="B4" t="s">
        <v>155</v>
      </c>
      <c r="C4">
        <v>245</v>
      </c>
    </row>
    <row r="5" spans="2:11">
      <c r="B5" t="s">
        <v>67</v>
      </c>
      <c r="C5">
        <v>22</v>
      </c>
    </row>
    <row r="6" spans="2:11">
      <c r="B6" t="s">
        <v>139</v>
      </c>
      <c r="C6" s="11">
        <v>0.04</v>
      </c>
    </row>
    <row r="7" spans="2:11">
      <c r="B7" t="s">
        <v>30</v>
      </c>
      <c r="C7" s="35">
        <f>C5/C4+C6</f>
        <v>0.12979591836734694</v>
      </c>
      <c r="D7" t="s">
        <v>156</v>
      </c>
    </row>
    <row r="10" spans="2:11">
      <c r="C10" t="s">
        <v>397</v>
      </c>
    </row>
    <row r="11" spans="2:11">
      <c r="C11" t="s">
        <v>378</v>
      </c>
    </row>
    <row r="12" spans="2:11">
      <c r="C12" t="s">
        <v>377</v>
      </c>
    </row>
    <row r="16" spans="2:11">
      <c r="B16" s="5" t="s">
        <v>38</v>
      </c>
    </row>
    <row r="17" spans="2:2">
      <c r="B17" s="6" t="s">
        <v>39</v>
      </c>
    </row>
    <row r="18" spans="2:2">
      <c r="B18" s="15" t="s">
        <v>40</v>
      </c>
    </row>
    <row r="19" spans="2:2">
      <c r="B19" s="7"/>
    </row>
    <row r="20" spans="2:2">
      <c r="B20" s="7"/>
    </row>
    <row r="21" spans="2:2">
      <c r="B21" s="7"/>
    </row>
    <row r="22" spans="2:2">
      <c r="B22" s="6" t="s">
        <v>41</v>
      </c>
    </row>
    <row r="23" spans="2:2">
      <c r="B23" s="6" t="s">
        <v>42</v>
      </c>
    </row>
  </sheetData>
  <mergeCells count="2">
    <mergeCell ref="B1:I1"/>
    <mergeCell ref="B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topLeftCell="A6" workbookViewId="0">
      <selection activeCell="I18" sqref="I18"/>
    </sheetView>
  </sheetViews>
  <sheetFormatPr defaultRowHeight="14.5"/>
  <sheetData>
    <row r="1" spans="1:20">
      <c r="A1" s="10" t="s">
        <v>82</v>
      </c>
      <c r="I1" s="96" t="s">
        <v>89</v>
      </c>
      <c r="J1" s="96"/>
      <c r="K1" s="96"/>
      <c r="L1" s="96"/>
      <c r="M1" s="96"/>
      <c r="N1" s="96"/>
      <c r="O1" s="96"/>
      <c r="P1" s="96"/>
      <c r="Q1" s="96"/>
      <c r="R1" s="96"/>
    </row>
    <row r="2" spans="1:20" ht="24" customHeight="1">
      <c r="A2" s="1" t="s">
        <v>83</v>
      </c>
      <c r="I2" s="96"/>
      <c r="J2" s="96"/>
      <c r="K2" s="96"/>
      <c r="L2" s="96"/>
      <c r="M2" s="96"/>
      <c r="N2" s="96"/>
      <c r="O2" s="96"/>
      <c r="P2" s="96"/>
      <c r="Q2" s="96"/>
      <c r="R2" s="96"/>
    </row>
    <row r="3" spans="1:20" ht="178.5" customHeight="1">
      <c r="A3" s="1" t="s">
        <v>84</v>
      </c>
      <c r="I3" s="96"/>
      <c r="J3" s="96"/>
      <c r="K3" s="96"/>
      <c r="L3" s="96"/>
      <c r="M3" s="96"/>
      <c r="N3" s="96"/>
      <c r="O3" s="96"/>
      <c r="P3" s="96"/>
      <c r="Q3" s="96"/>
      <c r="R3" s="96"/>
      <c r="T3" t="s">
        <v>380</v>
      </c>
    </row>
    <row r="4" spans="1:20">
      <c r="A4" s="1" t="s">
        <v>85</v>
      </c>
      <c r="I4" t="s">
        <v>174</v>
      </c>
      <c r="J4" s="11">
        <v>0.05</v>
      </c>
      <c r="K4" t="s">
        <v>176</v>
      </c>
      <c r="L4" t="s">
        <v>175</v>
      </c>
    </row>
    <row r="5" spans="1:20">
      <c r="A5" s="1" t="s">
        <v>86</v>
      </c>
      <c r="I5" t="s">
        <v>91</v>
      </c>
      <c r="J5" s="11">
        <v>0.04</v>
      </c>
    </row>
    <row r="6" spans="1:20">
      <c r="A6" s="1" t="s">
        <v>87</v>
      </c>
      <c r="I6" t="s">
        <v>30</v>
      </c>
      <c r="J6" s="11">
        <v>7.0000000000000007E-2</v>
      </c>
    </row>
    <row r="7" spans="1:20">
      <c r="A7" s="1" t="s">
        <v>88</v>
      </c>
      <c r="I7" t="s">
        <v>92</v>
      </c>
    </row>
    <row r="8" spans="1:20">
      <c r="I8" t="s">
        <v>177</v>
      </c>
    </row>
    <row r="10" spans="1:20" ht="83.25" customHeight="1"/>
    <row r="11" spans="1:20">
      <c r="I11" t="s">
        <v>93</v>
      </c>
    </row>
    <row r="12" spans="1:20">
      <c r="I12" t="s">
        <v>90</v>
      </c>
    </row>
    <row r="13" spans="1:20">
      <c r="I13" t="s">
        <v>94</v>
      </c>
    </row>
    <row r="14" spans="1:20">
      <c r="I14" s="23" t="s">
        <v>92</v>
      </c>
      <c r="J14" s="40"/>
    </row>
    <row r="16" spans="1:20">
      <c r="A16" s="5" t="s">
        <v>43</v>
      </c>
    </row>
    <row r="17" spans="1:1">
      <c r="A17" s="15" t="s">
        <v>44</v>
      </c>
    </row>
    <row r="18" spans="1:1">
      <c r="A18" s="6" t="s">
        <v>45</v>
      </c>
    </row>
    <row r="19" spans="1:1">
      <c r="A19" s="6" t="s">
        <v>46</v>
      </c>
    </row>
    <row r="20" spans="1:1">
      <c r="A20" s="7" t="s">
        <v>47</v>
      </c>
    </row>
    <row r="21" spans="1:1">
      <c r="A21" s="6" t="s">
        <v>48</v>
      </c>
    </row>
  </sheetData>
  <mergeCells count="1">
    <mergeCell ref="I1:R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topLeftCell="A5" workbookViewId="0">
      <selection activeCell="B9" sqref="B9"/>
    </sheetView>
  </sheetViews>
  <sheetFormatPr defaultRowHeight="14.5"/>
  <sheetData>
    <row r="1" spans="1:12" ht="91.5" customHeight="1">
      <c r="A1" s="92" t="s">
        <v>148</v>
      </c>
      <c r="B1" s="92"/>
      <c r="C1" s="92"/>
      <c r="D1" s="92"/>
      <c r="E1" s="92"/>
      <c r="F1" s="92"/>
      <c r="G1" s="92"/>
      <c r="H1" s="92"/>
      <c r="I1" s="92"/>
      <c r="J1" s="92"/>
    </row>
    <row r="2" spans="1:12" ht="216.75" customHeight="1">
      <c r="A2" s="94" t="s">
        <v>178</v>
      </c>
      <c r="B2" s="94"/>
      <c r="C2" s="94"/>
      <c r="D2" s="94"/>
      <c r="E2" s="94"/>
      <c r="F2" s="94"/>
      <c r="G2" s="94"/>
      <c r="H2" s="94"/>
      <c r="I2" s="94"/>
      <c r="J2" s="94"/>
    </row>
    <row r="3" spans="1:12" ht="17.25" customHeight="1">
      <c r="A3" s="41"/>
      <c r="B3" s="32" t="s">
        <v>149</v>
      </c>
      <c r="C3" s="41"/>
      <c r="D3" s="41"/>
      <c r="E3" s="41"/>
      <c r="F3" s="41"/>
      <c r="G3" s="41"/>
      <c r="H3" s="41"/>
      <c r="I3" s="41"/>
      <c r="J3" s="41"/>
    </row>
    <row r="4" spans="1:12" ht="17.25" customHeight="1">
      <c r="A4" s="41"/>
      <c r="B4" s="33" t="s">
        <v>150</v>
      </c>
      <c r="C4" s="41"/>
      <c r="D4" s="41"/>
      <c r="E4" s="41"/>
      <c r="F4" s="41"/>
      <c r="G4" s="41"/>
      <c r="H4" s="41"/>
      <c r="I4" s="41"/>
      <c r="J4" s="41"/>
    </row>
    <row r="5" spans="1:12" ht="17.25" customHeight="1">
      <c r="A5" s="41"/>
      <c r="B5" s="34" t="s">
        <v>151</v>
      </c>
      <c r="C5" s="41"/>
      <c r="D5" s="41"/>
      <c r="E5" s="41"/>
      <c r="F5" s="41"/>
      <c r="G5" s="41"/>
      <c r="H5" s="41"/>
      <c r="I5" s="41"/>
      <c r="J5" s="41"/>
    </row>
    <row r="6" spans="1:12" ht="95.25" customHeight="1"/>
    <row r="7" spans="1:12" ht="17.5">
      <c r="A7" s="33" t="s">
        <v>152</v>
      </c>
      <c r="B7" s="22">
        <v>6.3500000000000001E-2</v>
      </c>
      <c r="L7" s="32" t="s">
        <v>149</v>
      </c>
    </row>
    <row r="8" spans="1:12" ht="17.5">
      <c r="A8" t="s">
        <v>66</v>
      </c>
      <c r="B8" s="11">
        <v>0.35</v>
      </c>
      <c r="L8" s="33" t="s">
        <v>150</v>
      </c>
    </row>
    <row r="9" spans="1:12" ht="17.5">
      <c r="A9" s="33" t="s">
        <v>153</v>
      </c>
      <c r="B9" s="36"/>
      <c r="C9" t="s">
        <v>164</v>
      </c>
      <c r="L9" s="34" t="s">
        <v>151</v>
      </c>
    </row>
    <row r="10" spans="1:12" ht="15.5">
      <c r="A10" s="33"/>
    </row>
    <row r="19" spans="1:1">
      <c r="A19" s="5" t="s">
        <v>49</v>
      </c>
    </row>
    <row r="20" spans="1:1">
      <c r="A20" s="15" t="s">
        <v>50</v>
      </c>
    </row>
    <row r="21" spans="1:1">
      <c r="A21" s="16" t="s">
        <v>51</v>
      </c>
    </row>
    <row r="22" spans="1:1">
      <c r="A22" s="6" t="s">
        <v>52</v>
      </c>
    </row>
    <row r="23" spans="1:1">
      <c r="A23" s="6" t="s">
        <v>53</v>
      </c>
    </row>
    <row r="24" spans="1:1">
      <c r="A24" s="17" t="s">
        <v>54</v>
      </c>
    </row>
    <row r="25" spans="1:1">
      <c r="A25" s="18" t="s">
        <v>55</v>
      </c>
    </row>
    <row r="26" spans="1:1">
      <c r="A26" s="19" t="s">
        <v>56</v>
      </c>
    </row>
    <row r="27" spans="1:1">
      <c r="A27" s="20" t="s">
        <v>57</v>
      </c>
    </row>
    <row r="28" spans="1:1">
      <c r="A28" s="20" t="s">
        <v>58</v>
      </c>
    </row>
    <row r="29" spans="1:1">
      <c r="A29" s="21" t="s">
        <v>59</v>
      </c>
    </row>
  </sheetData>
  <mergeCells count="2">
    <mergeCell ref="A1:J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40 41</vt:lpstr>
      <vt:lpstr>42</vt:lpstr>
      <vt:lpstr>42 demo</vt:lpstr>
      <vt:lpstr>43</vt:lpstr>
      <vt:lpstr>48</vt:lpstr>
      <vt:lpstr>49</vt:lpstr>
      <vt:lpstr>50</vt:lpstr>
      <vt:lpstr>51</vt:lpstr>
      <vt:lpstr>52</vt:lpstr>
      <vt:lpstr>53</vt:lpstr>
      <vt:lpstr>54</vt:lpstr>
      <vt:lpstr>55</vt:lpstr>
      <vt:lpstr>57</vt:lpstr>
      <vt:lpstr>57 (2)</vt:lpstr>
      <vt:lpstr>62</vt:lpstr>
      <vt:lpstr>64</vt:lpstr>
      <vt:lpstr>66</vt:lpstr>
      <vt:lpstr>68</vt:lpstr>
      <vt:lpstr>69</vt:lpstr>
      <vt:lpstr>70 (2)</vt:lpstr>
      <vt:lpstr>70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Hewlett-Packard Company</cp:lastModifiedBy>
  <dcterms:created xsi:type="dcterms:W3CDTF">2017-05-18T08:40:40Z</dcterms:created>
  <dcterms:modified xsi:type="dcterms:W3CDTF">2019-12-20T00:49:57Z</dcterms:modified>
</cp:coreProperties>
</file>